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ício" sheetId="1" r:id="rId4"/>
    <sheet state="visible" name="Investimento" sheetId="2" r:id="rId5"/>
    <sheet state="visible" name="Despesas" sheetId="3" r:id="rId6"/>
    <sheet state="visible" name="Receitas" sheetId="4" r:id="rId7"/>
    <sheet state="visible" name="Real" sheetId="5" r:id="rId8"/>
    <sheet state="visible" name="Pessimista" sheetId="6" r:id="rId9"/>
    <sheet state="visible" name="Otimista" sheetId="7" r:id="rId10"/>
    <sheet state="visible" name="Conclusão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">
      <text>
        <t xml:space="preserve">Soma das despesas pré-operacionais e capital de giro do negócio.
	-Jonas Elias</t>
      </text>
    </comment>
    <comment authorId="0" ref="C9">
      <text>
        <t xml:space="preserve">As despesas pré-operacionais são os gastos incorridos antes do início das atividades operacionais de uma empresa. Elas estão relacionadas ao processo de preparação e organização do negócio, visando estabelecer as bases necessárias para o início das operações.
	-Jonas Elias</t>
      </text>
    </comment>
    <comment authorId="0" ref="C14">
      <text>
        <t xml:space="preserve">O capital de giro refere-se aos recursos financeiros necessários para a operação diária de uma empresa. É o valor disponível para cobrir as despesas operacionais, como pagamento de salários, fornecedores, aluguel, matéria-prima e outras obrigações a curto prazo.
O capital de giro é fundamental para manter a continuidade das atividades da empresa, garantindo que ela possa funcionar sem interrupções. Ele é necessário para suprir as necessidades de caixa da empresa até que as receitas sejam geradas com a venda de produtos ou serviços.
	-Jonas Elias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7">
      <text>
        <t xml:space="preserve">Valor final considerando a variável "MENSAL base" como um valor fixo, aplicado a um período de 12 meses e uma taxa de 1,53 referindo-se ao TMA de 20%.
	-Jonas Elias</t>
      </text>
    </comment>
    <comment authorId="0" ref="D24">
      <text>
        <t xml:space="preserve">Soma de todas as despesas mensais.
	-Jonas Elias</t>
      </text>
    </comment>
    <comment authorId="0" ref="D3">
      <text>
        <t xml:space="preserve">Os custos variáveis são aqueles que estão diretamente relacionados com a produção ou venda de um produto ou serviço e que variam de acordo com o nível de atividade da empresa. Eles aumentam ou diminuem proporcionalmente à quantidade produzida ou vendida.
	-Jonas Elias</t>
      </text>
    </comment>
    <comment authorId="0" ref="D9">
      <text>
        <t xml:space="preserve">O salário dos funcionários refere-se à remuneração que os trabalhadores recebem em troca dos serviços prestados a uma empresa. O valor do salário é acordado entre o empregador e o funcionário, geralmente com base em fatores como o nível de experiência, a qualificação profissional, a responsabilidade do cargo e o mercado de trabalho.
	-Jonas Elias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7">
      <text>
        <t xml:space="preserve">No primeiro ano, o período para o cálculo do valor final é de 6 meses, levando em consideração o tempo necessário para o desenvolvimento das APIs e integrações iniciais.
	-Jonas Elias</t>
      </text>
    </comment>
    <comment authorId="0" ref="C7">
      <text>
        <t xml:space="preserve">O plano profissional, oferece até 40000 transações bancárias por mês, custando R$0,60 cada.
	-Jonas Elias</t>
      </text>
    </comment>
    <comment authorId="0" ref="C6">
      <text>
        <t xml:space="preserve">O plano profissional, oferece até 20000 transações bancárias por mês, custando R$0,70 cada.
	-Jonas Elias</t>
      </text>
    </comment>
    <comment authorId="0" ref="C5">
      <text>
        <t xml:space="preserve">O plano básico, oferece até 2000 transações bancárias por mês, custando R$0,80 cada.
	-Jonas Elias</t>
      </text>
    </comment>
    <comment authorId="0" ref="C3">
      <text>
        <t xml:space="preserve">O serviço será oferecido através de planos de contemplam diferentes preços por transação.
	-Jonas Elias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2">
      <text>
        <t xml:space="preserve">Cenário esperado ou real, no qual as receitas e despesas não sofrem mudanças otimistas e nem pessimistas.
	-Jonas Elias</t>
      </text>
    </comment>
    <comment authorId="0" ref="O9">
      <text>
        <t xml:space="preserve">Com base no ano anterior ao qual o investimento é recuperado e no ano posterior, é possível determinar o momento exato em que ocorrerá o retorno do investimento.
	-Jonas Elias</t>
      </text>
    </comment>
    <comment authorId="0" ref="L7">
      <text>
        <t xml:space="preserve">Cálculo dos valores recuperados e investidos a partir da receita, despesas e investimentos.
	-Jonas Elias</t>
      </text>
    </comment>
    <comment authorId="0" ref="B5">
      <text>
        <t xml:space="preserve">Investimento inicial que é utilizado como um dos valores do cálculo de viabilidade do negócio.
	-Jonas Elias</t>
      </text>
    </comment>
    <comment authorId="0" ref="B3">
      <text>
        <t xml:space="preserve">TMA e taxa mensal utilizadas para realizar os cálculos relacionados a rentabilidade do negócio.
	-Jonas Elias</t>
      </text>
    </comment>
    <comment authorId="0" ref="J7">
      <text>
        <t xml:space="preserve">Esses valores representam diferentes indicadores financeiros utilizados para avaliar o desempenho econômico e a viabilidade de um projeto ou investimento. Cada um desses indicadores fornece informações específicas sobre o retorno financeiro, o valor presente líquido, o período de retorno do investimento e a taxa de rentabilidade.
	-Jonas Elias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2">
      <text>
        <t xml:space="preserve">Cenário pessimista, no qual as receitas e despesas sofrem mudanças pessimistas em relação aos respectivos valores.
	-Jonas Elias</t>
      </text>
    </comment>
    <comment authorId="0" ref="O13">
      <text>
        <t xml:space="preserve">Com base no ano anterior ao qual o investimento é recuperado e no ano posterior, é possível determinar o momento exato em que ocorrerá o retorno do investimento.
	-Jonas Elias</t>
      </text>
    </comment>
    <comment authorId="0" ref="L11">
      <text>
        <t xml:space="preserve">Cálculo dos valores recuperados e investidos a partir da receita, despesas e investimentos.
	-Jonas Elias</t>
      </text>
    </comment>
    <comment authorId="0" ref="B4">
      <text>
        <t xml:space="preserve">Considerando a possibilidade de a inflação exceder as taxas mensais/anuais utilizadas anteriormente, a constante "despesa" torna-se relevante para o cálculo.
	-Jonas Elias</t>
      </text>
    </comment>
    <comment authorId="0" ref="B3">
      <text>
        <t xml:space="preserve">Considerando um cenário pessimista em que a receita diminui aproximadamente 20% em relação ao esperado, é utilizado o termo "receita" como constante.
	-Jonas Elias</t>
      </text>
    </comment>
    <comment authorId="0" ref="B7">
      <text>
        <t xml:space="preserve">TMA e taxa mensal utilizadas para realizar os cálculos relacionados a rentabilidade do negócio.
	-Jonas Elias</t>
      </text>
    </comment>
    <comment authorId="0" ref="B9">
      <text>
        <t xml:space="preserve">Investimento inicial que é utilizado como um dos valores do cálculo de viabilidade do negócio.
	-Jonas Elias</t>
      </text>
    </comment>
    <comment authorId="0" ref="J11">
      <text>
        <t xml:space="preserve">Esses valores representam diferentes indicadores financeiros utilizados para avaliar o desempenho econômico e a viabilidade de um projeto ou investimento. Cada um desses indicadores fornece informações específicas sobre o retorno financeiro, o valor presente líquido, o período de retorno do investimento e a taxa de rentabilidade.
	-Jonas Elias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J2">
      <text>
        <t xml:space="preserve">Cenário otimista, no qual as receitas e despesas sofrem mudanças otimistas em relação aos respectivos valores.
	-Jonas Elias</t>
      </text>
    </comment>
    <comment authorId="0" ref="B7">
      <text>
        <t xml:space="preserve">TMA e taxa mensal utilizadas para realizar os cálculos relacionados a rentabilidade do negócio.
	-Jonas Elias</t>
      </text>
    </comment>
    <comment authorId="0" ref="B3">
      <text>
        <t xml:space="preserve">Considerando um cenário otimista em que a receita aumenta aproximadamente 20% em relação ao esperado, é utilizado o termo "receita" como constante.
	-Jonas Elias</t>
      </text>
    </comment>
    <comment authorId="0" ref="B9">
      <text>
        <t xml:space="preserve">Investimento inicial que é utilizado como um dos valores do cálculo de viabilidade do negócio.
	-Jonas Elias</t>
      </text>
    </comment>
    <comment authorId="0" ref="J11">
      <text>
        <t xml:space="preserve">Esses valores representam diferentes indicadores financeiros utilizados para avaliar o desempenho econômico e a viabilidade de um projeto ou investimento. Cada um desses indicadores fornece informações específicas sobre o retorno financeiro, o valor presente líquido, o período de retorno do investimento e a taxa de rentabilidade.
	-Jonas Elias</t>
      </text>
    </comment>
    <comment authorId="0" ref="L11">
      <text>
        <t xml:space="preserve">Cálculo dos valores recuperados e investidos a partir da receita, despesas e investimentos.
	-Jonas Elias</t>
      </text>
    </comment>
    <comment authorId="0" ref="O13">
      <text>
        <t xml:space="preserve">Com base no ano anterior ao qual o investimento é recuperado e no ano posterior, é possível determinar o momento exato em que ocorrerá o retorno do investimento.
	-Jonas Elias</t>
      </text>
    </comment>
  </commentList>
</comments>
</file>

<file path=xl/sharedStrings.xml><?xml version="1.0" encoding="utf-8"?>
<sst xmlns="http://schemas.openxmlformats.org/spreadsheetml/2006/main" count="218" uniqueCount="86">
  <si>
    <t>SmartCash</t>
  </si>
  <si>
    <t>Jonas Elias, Vitória Raupp</t>
  </si>
  <si>
    <t>Software como serviço que une soluções bancárias visando automatizar e facilitar a vida das empresas.</t>
  </si>
  <si>
    <t>TOTAL</t>
  </si>
  <si>
    <t>Tipo</t>
  </si>
  <si>
    <t>Valor</t>
  </si>
  <si>
    <t>Despesas pré-operacionais</t>
  </si>
  <si>
    <t>Capital de Giro</t>
  </si>
  <si>
    <t>Total:</t>
  </si>
  <si>
    <t>Quantidade</t>
  </si>
  <si>
    <t>Registro INPI</t>
  </si>
  <si>
    <t>Abertura CNPJ</t>
  </si>
  <si>
    <t>Valor de Reserva</t>
  </si>
  <si>
    <t>Salários</t>
  </si>
  <si>
    <t>Despesas anuais</t>
  </si>
  <si>
    <t>Custos Variáveis</t>
  </si>
  <si>
    <t>Marketing</t>
  </si>
  <si>
    <t>Hospedagem Site</t>
  </si>
  <si>
    <t>Funcionários/Salário</t>
  </si>
  <si>
    <t>Cargo</t>
  </si>
  <si>
    <t>Valor Benefícios</t>
  </si>
  <si>
    <t>Valor com Encargos</t>
  </si>
  <si>
    <t>Sócio 1</t>
  </si>
  <si>
    <t>Sócio 2</t>
  </si>
  <si>
    <t>Programador Senior Backend</t>
  </si>
  <si>
    <t>Programador Pleno Backend</t>
  </si>
  <si>
    <t>Programador Pleno Frontend</t>
  </si>
  <si>
    <t>Contabilidade</t>
  </si>
  <si>
    <t>Jurídico</t>
  </si>
  <si>
    <t>RH</t>
  </si>
  <si>
    <t>Agente de Marketing</t>
  </si>
  <si>
    <t>MENSAL Base</t>
  </si>
  <si>
    <t>VF</t>
  </si>
  <si>
    <t>Taxa</t>
  </si>
  <si>
    <t>Tma</t>
  </si>
  <si>
    <t>Planos</t>
  </si>
  <si>
    <t>Durante o cálculo anual, estima-se que cada contratante utilize 
aproximadamente 50% das transações disponíveis de acordo 
com o tipo de plano escolhido. Por exemplo, no plano básico, 
o contratante tem um limite de até 2000 transações disponíveis,
e o cálculo considera apenas o número de 1000 transações 
efetivamente utilizadas.</t>
  </si>
  <si>
    <t>Plano</t>
  </si>
  <si>
    <t>Descrição</t>
  </si>
  <si>
    <t>Preço por transação</t>
  </si>
  <si>
    <t>Básico</t>
  </si>
  <si>
    <t>Até 2000 transações por mês</t>
  </si>
  <si>
    <t>Profissional</t>
  </si>
  <si>
    <t>Até 20000 transações por mês</t>
  </si>
  <si>
    <t>Diamante</t>
  </si>
  <si>
    <t>Até 40000 transações por mês</t>
  </si>
  <si>
    <t>Ano 1</t>
  </si>
  <si>
    <t>Ano 2</t>
  </si>
  <si>
    <t>Ano 3</t>
  </si>
  <si>
    <t>Ano 4</t>
  </si>
  <si>
    <t>Ano 5</t>
  </si>
  <si>
    <t>Contratantes</t>
  </si>
  <si>
    <t>Valor mensal</t>
  </si>
  <si>
    <t>REAL</t>
  </si>
  <si>
    <t>TMA</t>
  </si>
  <si>
    <t>aa</t>
  </si>
  <si>
    <t>Taxa Mensal</t>
  </si>
  <si>
    <t>am</t>
  </si>
  <si>
    <t>Investimento</t>
  </si>
  <si>
    <t>ANOS</t>
  </si>
  <si>
    <t>Valores</t>
  </si>
  <si>
    <t>VP Recuperado</t>
  </si>
  <si>
    <t>VP Acumulado</t>
  </si>
  <si>
    <t>Inves. - Ano inferior:</t>
  </si>
  <si>
    <t>Ano Sup - Ano Inf:</t>
  </si>
  <si>
    <t>Receitas</t>
  </si>
  <si>
    <t xml:space="preserve">Divisão: </t>
  </si>
  <si>
    <t>Despesas</t>
  </si>
  <si>
    <t>Líquido</t>
  </si>
  <si>
    <t>VP Ben.</t>
  </si>
  <si>
    <t>VPL</t>
  </si>
  <si>
    <t>VPLA</t>
  </si>
  <si>
    <t>IBC</t>
  </si>
  <si>
    <t>ROIA</t>
  </si>
  <si>
    <t>PAYBACK</t>
  </si>
  <si>
    <t>anos</t>
  </si>
  <si>
    <t>TIR</t>
  </si>
  <si>
    <t>PESSIMISTA</t>
  </si>
  <si>
    <t xml:space="preserve">Receita: </t>
  </si>
  <si>
    <t>Despesa (Inflação):</t>
  </si>
  <si>
    <t>OTIMISTA</t>
  </si>
  <si>
    <t>Conclusão</t>
  </si>
  <si>
    <t>Real</t>
  </si>
  <si>
    <t>Pessimista</t>
  </si>
  <si>
    <t>Otimista</t>
  </si>
  <si>
    <t>Analisando as tabelas acima, percebe-se a partir do atributo TIR, que o caso 
real e otimista não apresentam riscos ao modelo de negócio em questão.
Já o cenário pessimista, demonstra risco, pois, o respectivo atributo TIR, 
está muito próximo da taxa TMA utilizada como base nos cálculos do modelo de negócio (20%).
O payback do cenário real e otimista, demonstram que o modelo de negócio performa agradavelmente 
com base nos cálculos realizados. O cenário pessimista gera um payback elevado em comparação aos outros 
casos, porém, ainda está dentro do estabelecido inicialmente nos requisitos do trabalho.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</si>
</sst>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R$&quot;\ #,##0.00"/>
    <numFmt numFmtId="165" formatCode="[$R$ -416]#,##0.00"/>
    <numFmt numFmtId="166" formatCode="&quot;R$&quot;\ #,##0.00;[Red]\-&quot;R$&quot;\ #,##0.00"/>
    <numFmt numFmtId="167" formatCode="0.0000"/>
    <numFmt numFmtId="168" formatCode="0.000%"/>
  </numFmts>
  <fonts count="25">
    <font>
      <sz val="10.0"/>
      <color rgb="FF000000"/>
      <name val="Arial"/>
      <scheme val="minor"/>
    </font>
    <font>
      <sz val="30.0"/>
      <color theme="1"/>
      <name val="Arial"/>
      <scheme val="minor"/>
    </font>
    <font>
      <sz val="14.0"/>
      <color theme="1"/>
      <name val="Arial"/>
      <scheme val="minor"/>
    </font>
    <font>
      <b/>
      <color theme="1"/>
      <name val="Arial"/>
      <scheme val="minor"/>
    </font>
    <font>
      <b/>
      <sz val="11.0"/>
      <color rgb="FFFFFFFF"/>
      <name val="Arial"/>
      <scheme val="minor"/>
    </font>
    <font/>
    <font>
      <sz val="11.0"/>
      <color theme="1"/>
      <name val="Arial"/>
      <scheme val="minor"/>
    </font>
    <font>
      <b/>
      <sz val="17.0"/>
      <color rgb="FFFFFFFF"/>
      <name val="Arial"/>
      <scheme val="minor"/>
    </font>
    <font>
      <b/>
      <sz val="11.0"/>
      <color theme="1"/>
      <name val="Arial"/>
      <scheme val="minor"/>
    </font>
    <font>
      <b/>
      <color rgb="FFFFFFFF"/>
      <name val="Arial"/>
      <scheme val="minor"/>
    </font>
    <font>
      <color rgb="FFFFFFFF"/>
      <name val="Arial"/>
      <scheme val="minor"/>
    </font>
    <font>
      <b/>
      <sz val="13.0"/>
      <color rgb="FFFFFFFF"/>
      <name val="Arial"/>
      <scheme val="minor"/>
    </font>
    <font>
      <b/>
      <color rgb="FF666666"/>
      <name val="Arial"/>
      <scheme val="minor"/>
    </font>
    <font>
      <color theme="1"/>
      <name val="Arial"/>
      <scheme val="minor"/>
    </font>
    <font>
      <b/>
      <sz val="12.0"/>
      <color rgb="FFFFFFFF"/>
      <name val="Arial"/>
      <scheme val="minor"/>
    </font>
    <font>
      <b/>
      <color rgb="FF000000"/>
      <name val="Arial"/>
      <scheme val="minor"/>
    </font>
    <font>
      <sz val="10.0"/>
      <color theme="1"/>
      <name val="Arial"/>
      <scheme val="minor"/>
    </font>
    <font>
      <b/>
      <sz val="14.0"/>
      <color rgb="FF000000"/>
      <name val="Arial"/>
      <scheme val="minor"/>
    </font>
    <font>
      <sz val="11.0"/>
      <color theme="1"/>
      <name val="Calibri"/>
    </font>
    <font>
      <b/>
      <sz val="10.0"/>
      <color rgb="FFFFFFFF"/>
      <name val="Arial"/>
      <scheme val="minor"/>
    </font>
    <font>
      <b/>
      <sz val="10.0"/>
      <color theme="1"/>
      <name val="Arial"/>
      <scheme val="minor"/>
    </font>
    <font>
      <b/>
      <sz val="10.0"/>
      <color rgb="FF000000"/>
      <name val="Arial"/>
      <scheme val="minor"/>
    </font>
    <font>
      <b/>
      <sz val="10.0"/>
      <color rgb="FFFF0000"/>
      <name val="Arial"/>
      <scheme val="minor"/>
    </font>
    <font>
      <sz val="10.0"/>
      <color rgb="FFFFFFFF"/>
      <name val="Arial"/>
      <scheme val="minor"/>
    </font>
    <font>
      <b/>
      <sz val="14.0"/>
      <color rgb="FFFFFFFF"/>
      <name val="Arial"/>
      <scheme val="minor"/>
    </font>
  </fonts>
  <fills count="2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theme="4"/>
        <bgColor theme="4"/>
      </patternFill>
    </fill>
    <fill>
      <patternFill patternType="solid">
        <fgColor rgb="FF3D85C6"/>
        <bgColor rgb="FF3D85C6"/>
      </patternFill>
    </fill>
    <fill>
      <patternFill patternType="solid">
        <fgColor rgb="FF434343"/>
        <bgColor rgb="FF434343"/>
      </patternFill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F4B084"/>
        <bgColor rgb="FFF4B084"/>
      </patternFill>
    </fill>
    <fill>
      <patternFill patternType="solid">
        <fgColor rgb="FF00B050"/>
        <bgColor rgb="FF00B050"/>
      </patternFill>
    </fill>
    <fill>
      <patternFill patternType="solid">
        <fgColor rgb="FFDEFFBA"/>
        <bgColor rgb="FFDEFFBA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FF0000"/>
        <bgColor rgb="FFFF0000"/>
      </patternFill>
    </fill>
    <fill>
      <patternFill patternType="solid">
        <fgColor rgb="FFFFE6E6"/>
        <bgColor rgb="FFFFE6E6"/>
      </patternFill>
    </fill>
    <fill>
      <patternFill patternType="solid">
        <fgColor rgb="FFFFC000"/>
        <bgColor rgb="FFFFC000"/>
      </patternFill>
    </fill>
    <fill>
      <patternFill patternType="solid">
        <fgColor rgb="FFFFF0C4"/>
        <bgColor rgb="FFFFF0C4"/>
      </patternFill>
    </fill>
    <fill>
      <patternFill patternType="solid">
        <fgColor rgb="FFC7F0FF"/>
        <bgColor rgb="FFC7F0FF"/>
      </patternFill>
    </fill>
    <fill>
      <patternFill patternType="solid">
        <fgColor rgb="FFEFEFEF"/>
        <bgColor rgb="FFEFEFEF"/>
      </patternFill>
    </fill>
    <fill>
      <patternFill patternType="solid">
        <fgColor theme="5"/>
        <bgColor theme="5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B7B7B7"/>
        <bgColor rgb="FFB7B7B7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</border>
    <border>
      <right style="thin">
        <color rgb="FF505050"/>
      </right>
      <top style="thin">
        <color rgb="FF505050"/>
      </top>
      <bottom style="thin">
        <color rgb="FF505050"/>
      </bottom>
    </border>
    <border>
      <left style="thin">
        <color rgb="FF505050"/>
      </left>
      <right style="thin">
        <color rgb="FF505050"/>
      </right>
      <bottom style="thin">
        <color rgb="FF505050"/>
      </bottom>
    </border>
    <border>
      <right style="thin">
        <color rgb="FF505050"/>
      </right>
      <bottom style="thin">
        <color rgb="FF50505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3" fontId="2" numFmtId="0" xfId="0" applyAlignment="1" applyFill="1" applyFont="1">
      <alignment horizontal="center" readingOrder="0" vertical="center"/>
    </xf>
    <xf borderId="0" fillId="3" fontId="3" numFmtId="0" xfId="0" applyAlignment="1" applyFont="1">
      <alignment horizontal="center" readingOrder="0" vertical="center"/>
    </xf>
    <xf borderId="1" fillId="4" fontId="4" numFmtId="0" xfId="0" applyAlignment="1" applyBorder="1" applyFill="1" applyFont="1">
      <alignment horizontal="center" vertical="bottom"/>
    </xf>
    <xf borderId="1" fillId="0" fontId="5" numFmtId="0" xfId="0" applyBorder="1" applyFont="1"/>
    <xf borderId="2" fillId="0" fontId="6" numFmtId="0" xfId="0" applyAlignment="1" applyBorder="1" applyFont="1">
      <alignment horizontal="center" vertical="bottom"/>
    </xf>
    <xf borderId="3" fillId="0" fontId="5" numFmtId="0" xfId="0" applyBorder="1" applyFont="1"/>
    <xf borderId="1" fillId="0" fontId="6" numFmtId="0" xfId="0" applyAlignment="1" applyBorder="1" applyFont="1">
      <alignment horizontal="center" vertical="bottom"/>
    </xf>
    <xf borderId="1" fillId="0" fontId="6" numFmtId="164" xfId="0" applyAlignment="1" applyBorder="1" applyFont="1" applyNumberFormat="1">
      <alignment horizontal="center" vertical="bottom"/>
    </xf>
    <xf borderId="1" fillId="0" fontId="6" numFmtId="164" xfId="0" applyAlignment="1" applyBorder="1" applyFont="1" applyNumberFormat="1">
      <alignment horizontal="center" readingOrder="0" vertical="bottom"/>
    </xf>
    <xf borderId="2" fillId="0" fontId="6" numFmtId="0" xfId="0" applyAlignment="1" applyBorder="1" applyFont="1">
      <alignment horizontal="center" readingOrder="0" vertical="bottom"/>
    </xf>
    <xf borderId="0" fillId="5" fontId="7" numFmtId="0" xfId="0" applyAlignment="1" applyFill="1" applyFont="1">
      <alignment horizontal="center" readingOrder="0" vertical="center"/>
    </xf>
    <xf borderId="2" fillId="0" fontId="8" numFmtId="0" xfId="0" applyAlignment="1" applyBorder="1" applyFont="1">
      <alignment horizontal="center" vertical="bottom"/>
    </xf>
    <xf borderId="0" fillId="0" fontId="6" numFmtId="0" xfId="0" applyAlignment="1" applyFont="1">
      <alignment vertical="bottom"/>
    </xf>
    <xf borderId="1" fillId="4" fontId="4" numFmtId="0" xfId="0" applyAlignment="1" applyBorder="1" applyFont="1">
      <alignment horizontal="center" readingOrder="0" vertical="bottom"/>
    </xf>
    <xf borderId="4" fillId="4" fontId="4" numFmtId="0" xfId="0" applyAlignment="1" applyBorder="1" applyFont="1">
      <alignment horizontal="center" vertical="bottom"/>
    </xf>
    <xf borderId="5" fillId="0" fontId="5" numFmtId="0" xfId="0" applyBorder="1" applyFont="1"/>
    <xf borderId="6" fillId="0" fontId="5" numFmtId="0" xfId="0" applyBorder="1" applyFont="1"/>
    <xf borderId="2" fillId="0" fontId="8" numFmtId="0" xfId="0" applyAlignment="1" applyBorder="1" applyFont="1">
      <alignment horizontal="center" readingOrder="0" vertical="bottom"/>
    </xf>
    <xf borderId="0" fillId="4" fontId="9" numFmtId="0" xfId="0" applyAlignment="1" applyFont="1">
      <alignment readingOrder="0"/>
    </xf>
    <xf borderId="0" fillId="6" fontId="10" numFmtId="10" xfId="0" applyAlignment="1" applyFill="1" applyFont="1" applyNumberFormat="1">
      <alignment readingOrder="0"/>
    </xf>
    <xf borderId="0" fillId="6" fontId="10" numFmtId="9" xfId="0" applyAlignment="1" applyFont="1" applyNumberFormat="1">
      <alignment readingOrder="0"/>
    </xf>
    <xf borderId="0" fillId="4" fontId="11" numFmtId="0" xfId="0" applyAlignment="1" applyFont="1">
      <alignment horizontal="center" readingOrder="0"/>
    </xf>
    <xf borderId="0" fillId="7" fontId="6" numFmtId="0" xfId="0" applyAlignment="1" applyFill="1" applyFont="1">
      <alignment horizontal="left" readingOrder="0" vertical="center"/>
    </xf>
    <xf borderId="0" fillId="3" fontId="3" numFmtId="0" xfId="0" applyAlignment="1" applyFont="1">
      <alignment horizontal="center" readingOrder="0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3" numFmtId="165" xfId="0" applyAlignment="1" applyFont="1" applyNumberFormat="1">
      <alignment readingOrder="0"/>
    </xf>
    <xf borderId="0" fillId="8" fontId="14" numFmtId="0" xfId="0" applyAlignment="1" applyFill="1" applyFont="1">
      <alignment horizontal="center" readingOrder="0"/>
    </xf>
    <xf borderId="0" fillId="3" fontId="15" numFmtId="0" xfId="0" applyAlignment="1" applyFont="1">
      <alignment horizontal="center" readingOrder="0"/>
    </xf>
    <xf borderId="0" fillId="0" fontId="13" numFmtId="165" xfId="0" applyFont="1" applyNumberFormat="1"/>
    <xf borderId="0" fillId="0" fontId="3" numFmtId="0" xfId="0" applyAlignment="1" applyFont="1">
      <alignment horizontal="center" readingOrder="0"/>
    </xf>
    <xf borderId="0" fillId="0" fontId="3" numFmtId="165" xfId="0" applyFont="1" applyNumberFormat="1"/>
    <xf borderId="1" fillId="0" fontId="16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0" fillId="3" fontId="17" numFmtId="0" xfId="0" applyAlignment="1" applyFont="1">
      <alignment horizontal="center" vertical="center"/>
    </xf>
    <xf borderId="0" fillId="0" fontId="18" numFmtId="0" xfId="0" applyAlignment="1" applyFont="1">
      <alignment vertical="bottom"/>
    </xf>
    <xf borderId="7" fillId="4" fontId="19" numFmtId="0" xfId="0" applyAlignment="1" applyBorder="1" applyFont="1">
      <alignment horizontal="right" vertical="bottom"/>
    </xf>
    <xf borderId="3" fillId="9" fontId="16" numFmtId="10" xfId="0" applyAlignment="1" applyBorder="1" applyFill="1" applyFont="1" applyNumberFormat="1">
      <alignment horizontal="right" vertical="bottom"/>
    </xf>
    <xf borderId="7" fillId="10" fontId="19" numFmtId="0" xfId="0" applyAlignment="1" applyBorder="1" applyFill="1" applyFont="1">
      <alignment horizontal="right" vertical="bottom"/>
    </xf>
    <xf borderId="3" fillId="11" fontId="16" numFmtId="164" xfId="0" applyAlignment="1" applyBorder="1" applyFill="1" applyFont="1" applyNumberFormat="1">
      <alignment horizontal="right" vertical="bottom"/>
    </xf>
    <xf borderId="8" fillId="0" fontId="16" numFmtId="0" xfId="0" applyAlignment="1" applyBorder="1" applyFont="1">
      <alignment vertical="bottom"/>
    </xf>
    <xf borderId="3" fillId="5" fontId="19" numFmtId="0" xfId="0" applyAlignment="1" applyBorder="1" applyFont="1">
      <alignment horizontal="center" vertical="bottom"/>
    </xf>
    <xf borderId="9" fillId="12" fontId="16" numFmtId="164" xfId="0" applyAlignment="1" applyBorder="1" applyFill="1" applyFont="1" applyNumberFormat="1">
      <alignment horizontal="right" vertical="bottom"/>
    </xf>
    <xf borderId="1" fillId="0" fontId="20" numFmtId="0" xfId="0" applyAlignment="1" applyBorder="1" applyFont="1">
      <alignment horizontal="center" vertical="bottom"/>
    </xf>
    <xf borderId="3" fillId="3" fontId="20" numFmtId="0" xfId="0" applyAlignment="1" applyBorder="1" applyFont="1">
      <alignment horizontal="right" vertical="bottom"/>
    </xf>
    <xf borderId="3" fillId="12" fontId="16" numFmtId="164" xfId="0" applyAlignment="1" applyBorder="1" applyFont="1" applyNumberFormat="1">
      <alignment horizontal="right" vertical="bottom"/>
    </xf>
    <xf borderId="7" fillId="4" fontId="21" numFmtId="0" xfId="0" applyAlignment="1" applyBorder="1" applyFont="1">
      <alignment horizontal="right" vertical="bottom"/>
    </xf>
    <xf borderId="3" fillId="13" fontId="16" numFmtId="164" xfId="0" applyAlignment="1" applyBorder="1" applyFill="1" applyFont="1" applyNumberFormat="1">
      <alignment horizontal="right" vertical="bottom"/>
    </xf>
    <xf borderId="3" fillId="12" fontId="16" numFmtId="2" xfId="0" applyAlignment="1" applyBorder="1" applyFont="1" applyNumberFormat="1">
      <alignment horizontal="right" vertical="bottom"/>
    </xf>
    <xf borderId="7" fillId="14" fontId="19" numFmtId="0" xfId="0" applyAlignment="1" applyBorder="1" applyFill="1" applyFont="1">
      <alignment horizontal="right" vertical="bottom"/>
    </xf>
    <xf borderId="3" fillId="15" fontId="16" numFmtId="164" xfId="0" applyAlignment="1" applyBorder="1" applyFill="1" applyFont="1" applyNumberFormat="1">
      <alignment horizontal="right" vertical="bottom"/>
    </xf>
    <xf borderId="7" fillId="16" fontId="19" numFmtId="0" xfId="0" applyAlignment="1" applyBorder="1" applyFill="1" applyFont="1">
      <alignment horizontal="right" readingOrder="0" vertical="bottom"/>
    </xf>
    <xf borderId="3" fillId="17" fontId="22" numFmtId="164" xfId="0" applyAlignment="1" applyBorder="1" applyFill="1" applyFont="1" applyNumberFormat="1">
      <alignment horizontal="right" vertical="bottom"/>
    </xf>
    <xf borderId="3" fillId="17" fontId="20" numFmtId="164" xfId="0" applyAlignment="1" applyBorder="1" applyFont="1" applyNumberFormat="1">
      <alignment horizontal="right" vertical="bottom"/>
    </xf>
    <xf borderId="0" fillId="0" fontId="16" numFmtId="166" xfId="0" applyAlignment="1" applyFont="1" applyNumberFormat="1">
      <alignment vertical="bottom"/>
    </xf>
    <xf borderId="3" fillId="5" fontId="23" numFmtId="164" xfId="0" applyAlignment="1" applyBorder="1" applyFont="1" applyNumberFormat="1">
      <alignment horizontal="right" vertical="bottom"/>
    </xf>
    <xf borderId="3" fillId="4" fontId="20" numFmtId="0" xfId="0" applyAlignment="1" applyBorder="1" applyFont="1">
      <alignment horizontal="right" vertical="bottom"/>
    </xf>
    <xf borderId="3" fillId="18" fontId="16" numFmtId="166" xfId="0" applyAlignment="1" applyBorder="1" applyFill="1" applyFont="1" applyNumberFormat="1">
      <alignment horizontal="right" vertical="bottom"/>
    </xf>
    <xf borderId="0" fillId="19" fontId="20" numFmtId="0" xfId="0" applyAlignment="1" applyFill="1" applyFont="1">
      <alignment readingOrder="0" vertical="bottom"/>
    </xf>
    <xf borderId="3" fillId="18" fontId="16" numFmtId="167" xfId="0" applyAlignment="1" applyBorder="1" applyFont="1" applyNumberFormat="1">
      <alignment horizontal="right" vertical="bottom"/>
    </xf>
    <xf borderId="0" fillId="19" fontId="20" numFmtId="0" xfId="0" applyAlignment="1" applyFont="1">
      <alignment vertical="bottom"/>
    </xf>
    <xf borderId="3" fillId="18" fontId="16" numFmtId="168" xfId="0" applyAlignment="1" applyBorder="1" applyFont="1" applyNumberFormat="1">
      <alignment horizontal="right" vertical="bottom"/>
    </xf>
    <xf borderId="3" fillId="18" fontId="16" numFmtId="2" xfId="0" applyAlignment="1" applyBorder="1" applyFont="1" applyNumberFormat="1">
      <alignment horizontal="right" vertical="bottom"/>
    </xf>
    <xf borderId="3" fillId="18" fontId="16" numFmtId="9" xfId="0" applyAlignment="1" applyBorder="1" applyFont="1" applyNumberFormat="1">
      <alignment horizontal="right" vertical="bottom"/>
    </xf>
    <xf borderId="0" fillId="20" fontId="24" numFmtId="0" xfId="0" applyAlignment="1" applyFill="1" applyFont="1">
      <alignment horizontal="center" readingOrder="0" vertical="center"/>
    </xf>
    <xf borderId="10" fillId="21" fontId="8" numFmtId="0" xfId="0" applyAlignment="1" applyBorder="1" applyFill="1" applyFont="1">
      <alignment horizontal="right" vertical="bottom"/>
    </xf>
    <xf borderId="11" fillId="21" fontId="6" numFmtId="10" xfId="0" applyAlignment="1" applyBorder="1" applyFont="1" applyNumberFormat="1">
      <alignment horizontal="right" readingOrder="0" vertical="bottom"/>
    </xf>
    <xf borderId="12" fillId="21" fontId="8" numFmtId="0" xfId="0" applyAlignment="1" applyBorder="1" applyFont="1">
      <alignment horizontal="right" readingOrder="0" vertical="bottom"/>
    </xf>
    <xf borderId="13" fillId="21" fontId="6" numFmtId="10" xfId="0" applyAlignment="1" applyBorder="1" applyFont="1" applyNumberFormat="1">
      <alignment horizontal="right" vertical="bottom"/>
    </xf>
    <xf borderId="0" fillId="22" fontId="24" numFmtId="0" xfId="0" applyAlignment="1" applyFill="1" applyFont="1">
      <alignment horizontal="center" readingOrder="0" vertical="center"/>
    </xf>
    <xf borderId="0" fillId="0" fontId="8" numFmtId="0" xfId="0" applyAlignment="1" applyFont="1">
      <alignment horizontal="right" vertical="bottom"/>
    </xf>
    <xf borderId="0" fillId="0" fontId="6" numFmtId="10" xfId="0" applyAlignment="1" applyFont="1" applyNumberFormat="1">
      <alignment horizontal="right" vertical="bottom"/>
    </xf>
    <xf borderId="0" fillId="23" fontId="24" numFmtId="0" xfId="0" applyAlignment="1" applyFill="1" applyFont="1">
      <alignment horizontal="center" readingOrder="0" vertical="center"/>
    </xf>
    <xf borderId="0" fillId="5" fontId="14" numFmtId="0" xfId="0" applyAlignment="1" applyFont="1">
      <alignment horizontal="center" readingOrder="0"/>
    </xf>
    <xf borderId="0" fillId="20" fontId="14" numFmtId="0" xfId="0" applyAlignment="1" applyFont="1">
      <alignment horizontal="center" readingOrder="0"/>
    </xf>
    <xf borderId="0" fillId="22" fontId="14" numFmtId="0" xfId="0" applyAlignment="1" applyFont="1">
      <alignment horizontal="center" readingOrder="0"/>
    </xf>
    <xf borderId="3" fillId="20" fontId="19" numFmtId="0" xfId="0" applyAlignment="1" applyBorder="1" applyFont="1">
      <alignment horizontal="right" vertical="bottom"/>
    </xf>
    <xf borderId="3" fillId="22" fontId="19" numFmtId="0" xfId="0" applyAlignment="1" applyBorder="1" applyFont="1">
      <alignment horizontal="right" vertical="bottom"/>
    </xf>
    <xf borderId="3" fillId="18" fontId="16" numFmtId="10" xfId="0" applyAlignment="1" applyBorder="1" applyFont="1" applyNumberFormat="1">
      <alignment horizontal="right" vertical="bottom"/>
    </xf>
    <xf borderId="0" fillId="0" fontId="8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6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25.5"/>
  </cols>
  <sheetData>
    <row r="3">
      <c r="A3" s="1" t="s">
        <v>0</v>
      </c>
    </row>
    <row r="7">
      <c r="A7" s="2" t="s">
        <v>1</v>
      </c>
    </row>
    <row r="16">
      <c r="A16" s="3" t="s">
        <v>2</v>
      </c>
    </row>
  </sheetData>
  <mergeCells count="3">
    <mergeCell ref="A3:L6"/>
    <mergeCell ref="A7:L15"/>
    <mergeCell ref="A16:L1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3">
      <c r="C3" s="4" t="s">
        <v>3</v>
      </c>
      <c r="D3" s="5"/>
      <c r="E3" s="5"/>
      <c r="F3" s="5"/>
      <c r="G3" s="5"/>
      <c r="H3" s="5"/>
    </row>
    <row r="4">
      <c r="C4" s="6" t="s">
        <v>4</v>
      </c>
      <c r="D4" s="5"/>
      <c r="E4" s="5"/>
      <c r="F4" s="7"/>
      <c r="G4" s="8" t="s">
        <v>5</v>
      </c>
      <c r="H4" s="7"/>
    </row>
    <row r="5">
      <c r="C5" s="6" t="s">
        <v>6</v>
      </c>
      <c r="D5" s="5"/>
      <c r="E5" s="5"/>
      <c r="F5" s="7"/>
      <c r="G5" s="9">
        <f>SUM(G11:H12)</f>
        <v>6000</v>
      </c>
      <c r="H5" s="7"/>
    </row>
    <row r="6">
      <c r="C6" s="6" t="s">
        <v>7</v>
      </c>
      <c r="D6" s="5"/>
      <c r="E6" s="5"/>
      <c r="F6" s="7"/>
      <c r="G6" s="9">
        <f>SUM(G16:H17)</f>
        <v>2200000</v>
      </c>
      <c r="H6" s="7"/>
    </row>
    <row r="7">
      <c r="C7" s="6" t="s">
        <v>8</v>
      </c>
      <c r="D7" s="5"/>
      <c r="E7" s="5"/>
      <c r="F7" s="7"/>
      <c r="G7" s="9">
        <f>SUM(G5:H6)</f>
        <v>2206000</v>
      </c>
      <c r="H7" s="7"/>
    </row>
    <row r="9">
      <c r="C9" s="4" t="s">
        <v>6</v>
      </c>
      <c r="D9" s="5"/>
      <c r="E9" s="5"/>
      <c r="F9" s="5"/>
      <c r="G9" s="5"/>
      <c r="H9" s="5"/>
    </row>
    <row r="10">
      <c r="C10" s="6" t="s">
        <v>4</v>
      </c>
      <c r="D10" s="7"/>
      <c r="E10" s="8" t="s">
        <v>9</v>
      </c>
      <c r="F10" s="7"/>
      <c r="G10" s="8" t="s">
        <v>5</v>
      </c>
      <c r="H10" s="7"/>
    </row>
    <row r="11">
      <c r="C11" s="6" t="s">
        <v>10</v>
      </c>
      <c r="D11" s="7"/>
      <c r="E11" s="8">
        <v>1.0</v>
      </c>
      <c r="F11" s="7"/>
      <c r="G11" s="10">
        <v>1000.0</v>
      </c>
      <c r="H11" s="7"/>
    </row>
    <row r="12">
      <c r="C12" s="6" t="s">
        <v>11</v>
      </c>
      <c r="D12" s="7"/>
      <c r="E12" s="8">
        <v>1.0</v>
      </c>
      <c r="F12" s="7"/>
      <c r="G12" s="10">
        <v>5000.0</v>
      </c>
      <c r="H12" s="7"/>
    </row>
    <row r="14">
      <c r="C14" s="4" t="s">
        <v>7</v>
      </c>
      <c r="D14" s="5"/>
      <c r="E14" s="5"/>
      <c r="F14" s="5"/>
      <c r="G14" s="5"/>
      <c r="H14" s="5"/>
    </row>
    <row r="15">
      <c r="C15" s="6" t="s">
        <v>4</v>
      </c>
      <c r="D15" s="7"/>
      <c r="E15" s="8" t="s">
        <v>9</v>
      </c>
      <c r="F15" s="7"/>
      <c r="G15" s="8" t="s">
        <v>5</v>
      </c>
      <c r="H15" s="7"/>
    </row>
    <row r="16">
      <c r="C16" s="6" t="s">
        <v>12</v>
      </c>
      <c r="D16" s="7"/>
      <c r="E16" s="8">
        <v>1.0</v>
      </c>
      <c r="F16" s="7"/>
      <c r="G16" s="10">
        <v>500000.0</v>
      </c>
      <c r="H16" s="7"/>
    </row>
    <row r="17">
      <c r="C17" s="11" t="s">
        <v>13</v>
      </c>
      <c r="D17" s="7"/>
      <c r="E17" s="8">
        <v>1.0</v>
      </c>
      <c r="F17" s="7"/>
      <c r="G17" s="10">
        <v>1700000.0</v>
      </c>
      <c r="H17" s="7"/>
    </row>
  </sheetData>
  <mergeCells count="29">
    <mergeCell ref="C3:H3"/>
    <mergeCell ref="C4:F4"/>
    <mergeCell ref="G4:H4"/>
    <mergeCell ref="C5:F5"/>
    <mergeCell ref="G5:H5"/>
    <mergeCell ref="C6:F6"/>
    <mergeCell ref="G6:H6"/>
    <mergeCell ref="E11:F11"/>
    <mergeCell ref="G11:H11"/>
    <mergeCell ref="C7:F7"/>
    <mergeCell ref="G7:H7"/>
    <mergeCell ref="C9:H9"/>
    <mergeCell ref="C10:D10"/>
    <mergeCell ref="E10:F10"/>
    <mergeCell ref="G10:H10"/>
    <mergeCell ref="C11:D11"/>
    <mergeCell ref="C16:D16"/>
    <mergeCell ref="E16:F16"/>
    <mergeCell ref="G16:H16"/>
    <mergeCell ref="C17:D17"/>
    <mergeCell ref="E17:F17"/>
    <mergeCell ref="G17:H17"/>
    <mergeCell ref="C12:D12"/>
    <mergeCell ref="E12:F12"/>
    <mergeCell ref="G12:H12"/>
    <mergeCell ref="C14:H14"/>
    <mergeCell ref="C15:D15"/>
    <mergeCell ref="E15:F15"/>
    <mergeCell ref="G15:H15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13.63"/>
    <col customWidth="1" min="6" max="6" width="14.63"/>
    <col customWidth="1" min="7" max="7" width="13.5"/>
    <col customWidth="1" min="9" max="9" width="13.75"/>
    <col customWidth="1" min="11" max="11" width="15.75"/>
  </cols>
  <sheetData>
    <row r="1">
      <c r="D1" s="12" t="s">
        <v>14</v>
      </c>
    </row>
    <row r="3">
      <c r="D3" s="4" t="s">
        <v>15</v>
      </c>
      <c r="E3" s="5"/>
      <c r="F3" s="5"/>
      <c r="G3" s="5"/>
      <c r="H3" s="5"/>
      <c r="I3" s="5"/>
    </row>
    <row r="4">
      <c r="D4" s="6" t="s">
        <v>4</v>
      </c>
      <c r="E4" s="7"/>
      <c r="F4" s="8" t="s">
        <v>9</v>
      </c>
      <c r="G4" s="7"/>
      <c r="H4" s="8" t="s">
        <v>5</v>
      </c>
      <c r="I4" s="7"/>
    </row>
    <row r="5">
      <c r="D5" s="6" t="s">
        <v>16</v>
      </c>
      <c r="E5" s="7"/>
      <c r="F5" s="8">
        <v>1.0</v>
      </c>
      <c r="G5" s="7"/>
      <c r="H5" s="10">
        <v>4000.0</v>
      </c>
      <c r="I5" s="7"/>
    </row>
    <row r="6">
      <c r="D6" s="6" t="s">
        <v>17</v>
      </c>
      <c r="E6" s="7"/>
      <c r="F6" s="8">
        <v>1.0</v>
      </c>
      <c r="G6" s="7"/>
      <c r="H6" s="10">
        <v>10000.0</v>
      </c>
      <c r="I6" s="7"/>
    </row>
    <row r="7">
      <c r="D7" s="13" t="s">
        <v>8</v>
      </c>
      <c r="E7" s="7"/>
      <c r="F7" s="9">
        <f>SUM(H5:I6)</f>
        <v>14000</v>
      </c>
      <c r="G7" s="7"/>
      <c r="H7" s="14"/>
      <c r="I7" s="14"/>
    </row>
    <row r="9">
      <c r="D9" s="15" t="s">
        <v>18</v>
      </c>
      <c r="E9" s="5"/>
      <c r="F9" s="5"/>
      <c r="G9" s="5"/>
      <c r="H9" s="5"/>
      <c r="I9" s="5"/>
    </row>
    <row r="10">
      <c r="D10" s="6" t="s">
        <v>19</v>
      </c>
      <c r="E10" s="7"/>
      <c r="F10" s="8" t="s">
        <v>20</v>
      </c>
      <c r="G10" s="7"/>
      <c r="H10" s="8" t="s">
        <v>21</v>
      </c>
      <c r="I10" s="7"/>
    </row>
    <row r="11">
      <c r="D11" s="6" t="s">
        <v>22</v>
      </c>
      <c r="E11" s="7"/>
      <c r="F11" s="9">
        <v>0.0</v>
      </c>
      <c r="G11" s="7"/>
      <c r="H11" s="10">
        <v>20000.0</v>
      </c>
      <c r="I11" s="7"/>
    </row>
    <row r="12">
      <c r="D12" s="6" t="s">
        <v>23</v>
      </c>
      <c r="E12" s="7"/>
      <c r="F12" s="9">
        <v>0.0</v>
      </c>
      <c r="G12" s="7"/>
      <c r="H12" s="10">
        <v>20000.0</v>
      </c>
      <c r="I12" s="7"/>
    </row>
    <row r="13">
      <c r="D13" s="11" t="s">
        <v>24</v>
      </c>
      <c r="E13" s="7"/>
      <c r="F13" s="10">
        <v>1000.0</v>
      </c>
      <c r="G13" s="7"/>
      <c r="H13" s="10">
        <v>20000.0</v>
      </c>
      <c r="I13" s="7"/>
    </row>
    <row r="14">
      <c r="D14" s="11" t="s">
        <v>25</v>
      </c>
      <c r="E14" s="7"/>
      <c r="F14" s="10">
        <v>1000.0</v>
      </c>
      <c r="G14" s="7"/>
      <c r="H14" s="10">
        <v>10000.0</v>
      </c>
      <c r="I14" s="7"/>
    </row>
    <row r="15">
      <c r="D15" s="11" t="s">
        <v>26</v>
      </c>
      <c r="E15" s="7"/>
      <c r="F15" s="10">
        <v>1000.0</v>
      </c>
      <c r="G15" s="7"/>
      <c r="H15" s="10">
        <v>10000.0</v>
      </c>
      <c r="I15" s="7"/>
    </row>
    <row r="16">
      <c r="D16" s="6" t="s">
        <v>27</v>
      </c>
      <c r="E16" s="7"/>
      <c r="F16" s="10">
        <v>1000.0</v>
      </c>
      <c r="G16" s="7"/>
      <c r="H16" s="10">
        <v>5000.0</v>
      </c>
      <c r="I16" s="7"/>
    </row>
    <row r="17">
      <c r="D17" s="6" t="s">
        <v>28</v>
      </c>
      <c r="E17" s="7"/>
      <c r="F17" s="10">
        <v>1000.0</v>
      </c>
      <c r="G17" s="7"/>
      <c r="H17" s="10">
        <v>5000.0</v>
      </c>
      <c r="I17" s="7"/>
    </row>
    <row r="18">
      <c r="D18" s="11" t="s">
        <v>29</v>
      </c>
      <c r="E18" s="7"/>
      <c r="F18" s="10">
        <v>1000.0</v>
      </c>
      <c r="G18" s="7"/>
      <c r="H18" s="10">
        <v>5000.0</v>
      </c>
      <c r="I18" s="7"/>
    </row>
    <row r="19">
      <c r="D19" s="11" t="s">
        <v>30</v>
      </c>
      <c r="E19" s="7"/>
      <c r="F19" s="10">
        <v>1000.0</v>
      </c>
      <c r="G19" s="7"/>
      <c r="H19" s="10">
        <v>5000.0</v>
      </c>
      <c r="I19" s="7"/>
    </row>
    <row r="20">
      <c r="D20" s="13" t="s">
        <v>8</v>
      </c>
      <c r="E20" s="7"/>
      <c r="F20" s="9">
        <f>SUM(F11:G19)</f>
        <v>7000</v>
      </c>
      <c r="G20" s="7"/>
      <c r="H20" s="9">
        <f>SUM(H11:I19)</f>
        <v>100000</v>
      </c>
      <c r="I20" s="7"/>
    </row>
    <row r="22">
      <c r="D22" s="16" t="s">
        <v>8</v>
      </c>
      <c r="E22" s="17"/>
      <c r="F22" s="17"/>
      <c r="G22" s="17"/>
      <c r="H22" s="17"/>
      <c r="I22" s="18"/>
    </row>
    <row r="23">
      <c r="D23" s="6" t="s">
        <v>4</v>
      </c>
      <c r="E23" s="5"/>
      <c r="F23" s="5"/>
      <c r="G23" s="7"/>
      <c r="H23" s="8" t="s">
        <v>5</v>
      </c>
      <c r="I23" s="7"/>
    </row>
    <row r="24">
      <c r="D24" s="13" t="s">
        <v>31</v>
      </c>
      <c r="E24" s="5"/>
      <c r="F24" s="5"/>
      <c r="G24" s="7"/>
      <c r="H24" s="9">
        <f>SUM(H20,F20,F7)</f>
        <v>121000</v>
      </c>
      <c r="I24" s="7"/>
    </row>
    <row r="26">
      <c r="D26" s="16" t="s">
        <v>8</v>
      </c>
      <c r="E26" s="17"/>
      <c r="F26" s="17"/>
      <c r="G26" s="17"/>
      <c r="H26" s="17"/>
      <c r="I26" s="18"/>
    </row>
    <row r="27">
      <c r="D27" s="19" t="s">
        <v>32</v>
      </c>
      <c r="E27" s="5"/>
      <c r="F27" s="5"/>
      <c r="G27" s="7"/>
      <c r="H27" s="9">
        <f>FV(E30,12,-H24)</f>
        <v>1580720.901</v>
      </c>
      <c r="I27" s="7"/>
    </row>
    <row r="30">
      <c r="D30" s="20" t="s">
        <v>33</v>
      </c>
      <c r="E30" s="21">
        <f>RATE(12,,-1,1.2)</f>
        <v>0.0153094705</v>
      </c>
    </row>
    <row r="31">
      <c r="D31" s="20" t="s">
        <v>34</v>
      </c>
      <c r="E31" s="22">
        <v>0.2</v>
      </c>
    </row>
  </sheetData>
  <mergeCells count="55">
    <mergeCell ref="F18:G18"/>
    <mergeCell ref="H18:I18"/>
    <mergeCell ref="D16:E16"/>
    <mergeCell ref="F16:G16"/>
    <mergeCell ref="H16:I16"/>
    <mergeCell ref="D17:E17"/>
    <mergeCell ref="F17:G17"/>
    <mergeCell ref="H17:I17"/>
    <mergeCell ref="D18:E18"/>
    <mergeCell ref="D1:I2"/>
    <mergeCell ref="D3:I3"/>
    <mergeCell ref="D4:E4"/>
    <mergeCell ref="F4:G4"/>
    <mergeCell ref="H4:I4"/>
    <mergeCell ref="F5:G5"/>
    <mergeCell ref="H5:I5"/>
    <mergeCell ref="D5:E5"/>
    <mergeCell ref="D6:E6"/>
    <mergeCell ref="F6:G6"/>
    <mergeCell ref="H6:I6"/>
    <mergeCell ref="D7:E7"/>
    <mergeCell ref="F7:G7"/>
    <mergeCell ref="D9:I9"/>
    <mergeCell ref="F12:G12"/>
    <mergeCell ref="H12:I12"/>
    <mergeCell ref="D10:E10"/>
    <mergeCell ref="F10:G10"/>
    <mergeCell ref="H10:I10"/>
    <mergeCell ref="D11:E11"/>
    <mergeCell ref="F11:G11"/>
    <mergeCell ref="H11:I11"/>
    <mergeCell ref="D12:E12"/>
    <mergeCell ref="F15:G15"/>
    <mergeCell ref="H15:I15"/>
    <mergeCell ref="D13:E13"/>
    <mergeCell ref="F13:G13"/>
    <mergeCell ref="H13:I13"/>
    <mergeCell ref="D14:E14"/>
    <mergeCell ref="F14:G14"/>
    <mergeCell ref="H14:I14"/>
    <mergeCell ref="D15:E15"/>
    <mergeCell ref="D23:G23"/>
    <mergeCell ref="H23:I23"/>
    <mergeCell ref="D24:G24"/>
    <mergeCell ref="H24:I24"/>
    <mergeCell ref="D26:I26"/>
    <mergeCell ref="D27:G27"/>
    <mergeCell ref="H27:I27"/>
    <mergeCell ref="D19:E19"/>
    <mergeCell ref="F19:G19"/>
    <mergeCell ref="H19:I19"/>
    <mergeCell ref="D20:E20"/>
    <mergeCell ref="F20:G20"/>
    <mergeCell ref="H20:I20"/>
    <mergeCell ref="D22:I22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3.63"/>
    <col customWidth="1" min="5" max="5" width="16.88"/>
    <col customWidth="1" min="7" max="7" width="15.0"/>
    <col customWidth="1" min="8" max="8" width="14.38"/>
    <col customWidth="1" min="9" max="9" width="14.5"/>
    <col customWidth="1" min="10" max="10" width="16.5"/>
    <col customWidth="1" min="11" max="11" width="14.25"/>
    <col customWidth="1" min="12" max="12" width="13.88"/>
    <col customWidth="1" min="13" max="13" width="14.75"/>
    <col customWidth="1" min="15" max="15" width="14.75"/>
    <col customWidth="1" min="16" max="16" width="15.5"/>
    <col customWidth="1" min="17" max="17" width="14.0"/>
    <col customWidth="1" min="19" max="19" width="15.0"/>
    <col customWidth="1" min="20" max="20" width="15.63"/>
    <col customWidth="1" min="21" max="21" width="14.88"/>
  </cols>
  <sheetData>
    <row r="3">
      <c r="C3" s="23" t="s">
        <v>35</v>
      </c>
      <c r="G3" s="24" t="s">
        <v>36</v>
      </c>
    </row>
    <row r="4">
      <c r="C4" s="25" t="s">
        <v>37</v>
      </c>
      <c r="D4" s="25" t="s">
        <v>38</v>
      </c>
      <c r="E4" s="25" t="s">
        <v>39</v>
      </c>
    </row>
    <row r="5">
      <c r="C5" s="26" t="s">
        <v>40</v>
      </c>
      <c r="D5" s="27" t="s">
        <v>41</v>
      </c>
      <c r="E5" s="28">
        <v>0.8</v>
      </c>
    </row>
    <row r="6">
      <c r="C6" s="26" t="s">
        <v>42</v>
      </c>
      <c r="D6" s="27" t="s">
        <v>43</v>
      </c>
      <c r="E6" s="28">
        <v>0.7</v>
      </c>
    </row>
    <row r="7">
      <c r="C7" s="26" t="s">
        <v>44</v>
      </c>
      <c r="D7" s="27" t="s">
        <v>45</v>
      </c>
      <c r="E7" s="28">
        <v>0.6</v>
      </c>
    </row>
    <row r="11">
      <c r="C11" s="29" t="s">
        <v>46</v>
      </c>
      <c r="G11" s="29" t="s">
        <v>47</v>
      </c>
      <c r="K11" s="29" t="s">
        <v>48</v>
      </c>
      <c r="O11" s="29" t="s">
        <v>49</v>
      </c>
      <c r="S11" s="29" t="s">
        <v>50</v>
      </c>
    </row>
    <row r="12">
      <c r="C12" s="30" t="s">
        <v>51</v>
      </c>
      <c r="D12" s="30" t="s">
        <v>37</v>
      </c>
      <c r="E12" s="30" t="s">
        <v>52</v>
      </c>
      <c r="G12" s="25" t="s">
        <v>51</v>
      </c>
      <c r="H12" s="25" t="s">
        <v>37</v>
      </c>
      <c r="I12" s="25" t="s">
        <v>52</v>
      </c>
      <c r="K12" s="25" t="s">
        <v>51</v>
      </c>
      <c r="L12" s="25" t="s">
        <v>37</v>
      </c>
      <c r="M12" s="25" t="s">
        <v>52</v>
      </c>
      <c r="O12" s="25" t="s">
        <v>51</v>
      </c>
      <c r="P12" s="25" t="s">
        <v>37</v>
      </c>
      <c r="Q12" s="25" t="s">
        <v>52</v>
      </c>
      <c r="S12" s="25" t="s">
        <v>51</v>
      </c>
      <c r="T12" s="25" t="s">
        <v>37</v>
      </c>
      <c r="U12" s="25" t="s">
        <v>52</v>
      </c>
    </row>
    <row r="13">
      <c r="C13" s="27">
        <v>5.0</v>
      </c>
      <c r="D13" s="27" t="str">
        <f t="shared" ref="D13:D15" si="1">C5</f>
        <v>Básico</v>
      </c>
      <c r="E13" s="31">
        <f>C13*1000*E5</f>
        <v>4000</v>
      </c>
      <c r="G13" s="27">
        <v>10.0</v>
      </c>
      <c r="H13" s="27" t="str">
        <f t="shared" ref="H13:H15" si="2">C5</f>
        <v>Básico</v>
      </c>
      <c r="I13" s="31">
        <f>G13*1000*E5</f>
        <v>8000</v>
      </c>
      <c r="K13" s="27">
        <v>20.0</v>
      </c>
      <c r="L13" s="27" t="str">
        <f t="shared" ref="L13:L15" si="3">C5</f>
        <v>Básico</v>
      </c>
      <c r="M13" s="31">
        <f>K13*1000*E5</f>
        <v>16000</v>
      </c>
      <c r="O13" s="27">
        <v>40.0</v>
      </c>
      <c r="P13" s="27" t="str">
        <f t="shared" ref="P13:P15" si="4">C5</f>
        <v>Básico</v>
      </c>
      <c r="Q13" s="31">
        <f>O13*1000*E5</f>
        <v>32000</v>
      </c>
      <c r="S13" s="27">
        <v>50.0</v>
      </c>
      <c r="T13" s="27" t="str">
        <f t="shared" ref="T13:T15" si="5">C5</f>
        <v>Básico</v>
      </c>
      <c r="U13" s="31">
        <f>S13*1000*E5</f>
        <v>40000</v>
      </c>
    </row>
    <row r="14">
      <c r="C14" s="27">
        <v>5.0</v>
      </c>
      <c r="D14" s="27" t="str">
        <f t="shared" si="1"/>
        <v>Profissional</v>
      </c>
      <c r="E14" s="31">
        <f>C14*10000*E6</f>
        <v>35000</v>
      </c>
      <c r="G14" s="27">
        <v>10.0</v>
      </c>
      <c r="H14" s="27" t="str">
        <f t="shared" si="2"/>
        <v>Profissional</v>
      </c>
      <c r="I14" s="31">
        <f>G14*10000*E6</f>
        <v>70000</v>
      </c>
      <c r="K14" s="27">
        <v>20.0</v>
      </c>
      <c r="L14" s="27" t="str">
        <f t="shared" si="3"/>
        <v>Profissional</v>
      </c>
      <c r="M14" s="31">
        <f>K14*10000*E6</f>
        <v>140000</v>
      </c>
      <c r="O14" s="27">
        <v>40.0</v>
      </c>
      <c r="P14" s="27" t="str">
        <f t="shared" si="4"/>
        <v>Profissional</v>
      </c>
      <c r="Q14" s="31">
        <f>O14*10000*E6</f>
        <v>280000</v>
      </c>
      <c r="S14" s="27">
        <v>50.0</v>
      </c>
      <c r="T14" s="27" t="str">
        <f t="shared" si="5"/>
        <v>Profissional</v>
      </c>
      <c r="U14" s="31">
        <f>S14*10000*E6</f>
        <v>350000</v>
      </c>
    </row>
    <row r="15">
      <c r="C15" s="27">
        <v>2.0</v>
      </c>
      <c r="D15" s="27" t="str">
        <f t="shared" si="1"/>
        <v>Diamante</v>
      </c>
      <c r="E15" s="31">
        <f>C15*20000*E7</f>
        <v>24000</v>
      </c>
      <c r="G15" s="27">
        <v>4.0</v>
      </c>
      <c r="H15" s="27" t="str">
        <f t="shared" si="2"/>
        <v>Diamante</v>
      </c>
      <c r="I15" s="31">
        <f>G15*20000*E7</f>
        <v>48000</v>
      </c>
      <c r="K15" s="27">
        <v>8.0</v>
      </c>
      <c r="L15" s="27" t="str">
        <f t="shared" si="3"/>
        <v>Diamante</v>
      </c>
      <c r="M15" s="31">
        <f>K15*20000*E7</f>
        <v>96000</v>
      </c>
      <c r="O15" s="27">
        <v>16.0</v>
      </c>
      <c r="P15" s="27" t="str">
        <f t="shared" si="4"/>
        <v>Diamante</v>
      </c>
      <c r="Q15" s="31">
        <f>O15*20000*E7</f>
        <v>192000</v>
      </c>
      <c r="S15" s="27">
        <v>20.0</v>
      </c>
      <c r="T15" s="27" t="str">
        <f t="shared" si="5"/>
        <v>Diamante</v>
      </c>
      <c r="U15" s="31">
        <f>S15*20000*E7</f>
        <v>240000</v>
      </c>
    </row>
    <row r="17">
      <c r="C17" s="32" t="s">
        <v>8</v>
      </c>
      <c r="D17" s="33">
        <f>FV(Despesas!I30,6,-(E13+E14+E15))</f>
        <v>378000</v>
      </c>
      <c r="G17" s="32" t="s">
        <v>8</v>
      </c>
      <c r="H17" s="33">
        <f>FV(Despesas!I30,12,-(I13+I14+I15))</f>
        <v>1512000</v>
      </c>
      <c r="K17" s="32" t="s">
        <v>8</v>
      </c>
      <c r="L17" s="33">
        <f>FV(Despesas!E30,12,-(M13+M14+M15))</f>
        <v>3292079.893</v>
      </c>
      <c r="O17" s="32" t="s">
        <v>8</v>
      </c>
      <c r="P17" s="33">
        <f>FV(Despesas!I30,12,-(Q13+Q14+Q15))</f>
        <v>6048000</v>
      </c>
      <c r="S17" s="32" t="s">
        <v>8</v>
      </c>
      <c r="T17" s="33">
        <f>FV(Despesas!I30,12,-(U13+U14+U15))</f>
        <v>7560000</v>
      </c>
    </row>
  </sheetData>
  <mergeCells count="7">
    <mergeCell ref="C3:E3"/>
    <mergeCell ref="G3:J7"/>
    <mergeCell ref="C11:E11"/>
    <mergeCell ref="G11:I11"/>
    <mergeCell ref="K11:M11"/>
    <mergeCell ref="O11:Q11"/>
    <mergeCell ref="S11:U11"/>
  </mergeCell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5"/>
    <col customWidth="1" min="4" max="4" width="14.63"/>
    <col customWidth="1" min="5" max="5" width="14.38"/>
    <col customWidth="1" min="6" max="6" width="14.25"/>
    <col customWidth="1" min="7" max="7" width="13.63"/>
    <col customWidth="1" min="10" max="10" width="13.63"/>
    <col customWidth="1" min="12" max="12" width="14.38"/>
    <col customWidth="1" min="13" max="13" width="14.25"/>
    <col customWidth="1" min="14" max="14" width="11.38"/>
    <col customWidth="1" min="15" max="15" width="19.88"/>
  </cols>
  <sheetData>
    <row r="2">
      <c r="B2" s="34"/>
      <c r="C2" s="34"/>
      <c r="D2" s="35"/>
      <c r="E2" s="35"/>
      <c r="F2" s="35"/>
      <c r="G2" s="35"/>
      <c r="H2" s="35"/>
      <c r="I2" s="35"/>
      <c r="J2" s="36" t="s">
        <v>53</v>
      </c>
      <c r="M2" s="35"/>
      <c r="N2" s="35"/>
      <c r="O2" s="35"/>
      <c r="P2" s="35"/>
      <c r="Q2" s="37"/>
    </row>
    <row r="3">
      <c r="B3" s="38" t="s">
        <v>54</v>
      </c>
      <c r="C3" s="39">
        <v>0.2</v>
      </c>
      <c r="D3" s="35" t="s">
        <v>55</v>
      </c>
      <c r="E3" s="35"/>
      <c r="F3" s="35"/>
      <c r="G3" s="35"/>
      <c r="H3" s="35"/>
      <c r="I3" s="35"/>
      <c r="M3" s="35"/>
      <c r="N3" s="35"/>
      <c r="O3" s="35"/>
      <c r="P3" s="35"/>
      <c r="Q3" s="37"/>
    </row>
    <row r="4">
      <c r="B4" s="38" t="s">
        <v>56</v>
      </c>
      <c r="C4" s="39">
        <f>RATE(12,,-1,1.2)</f>
        <v>0.0153094705</v>
      </c>
      <c r="D4" s="35" t="s">
        <v>57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7"/>
    </row>
    <row r="5">
      <c r="B5" s="40" t="s">
        <v>58</v>
      </c>
      <c r="C5" s="41">
        <f>Investimento!G7</f>
        <v>2206000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7"/>
    </row>
    <row r="6">
      <c r="B6" s="35"/>
      <c r="C6" s="35"/>
      <c r="D6" s="35"/>
      <c r="E6" s="35"/>
      <c r="F6" s="35"/>
      <c r="G6" s="35"/>
      <c r="H6" s="35"/>
      <c r="I6" s="34"/>
      <c r="J6" s="34"/>
      <c r="K6" s="35"/>
      <c r="L6" s="34"/>
      <c r="M6" s="34"/>
      <c r="N6" s="35"/>
      <c r="O6" s="34"/>
      <c r="P6" s="35"/>
    </row>
    <row r="7">
      <c r="B7" s="35"/>
      <c r="C7" s="35"/>
      <c r="D7" s="35"/>
      <c r="E7" s="35"/>
      <c r="F7" s="35"/>
      <c r="G7" s="35"/>
      <c r="H7" s="42"/>
      <c r="I7" s="43" t="s">
        <v>59</v>
      </c>
      <c r="J7" s="43" t="s">
        <v>60</v>
      </c>
      <c r="K7" s="42"/>
      <c r="L7" s="43" t="s">
        <v>61</v>
      </c>
      <c r="M7" s="43" t="s">
        <v>62</v>
      </c>
      <c r="N7" s="42"/>
      <c r="O7" s="43" t="s">
        <v>63</v>
      </c>
      <c r="P7" s="44">
        <f>-J8-M12</f>
        <v>111261.3448</v>
      </c>
    </row>
    <row r="8">
      <c r="B8" s="34"/>
      <c r="C8" s="45" t="s">
        <v>46</v>
      </c>
      <c r="D8" s="45" t="s">
        <v>47</v>
      </c>
      <c r="E8" s="45" t="s">
        <v>48</v>
      </c>
      <c r="F8" s="45" t="s">
        <v>49</v>
      </c>
      <c r="G8" s="45" t="s">
        <v>50</v>
      </c>
      <c r="H8" s="42"/>
      <c r="I8" s="46">
        <v>0.0</v>
      </c>
      <c r="J8" s="47">
        <f>-C5</f>
        <v>-2206000</v>
      </c>
      <c r="K8" s="42"/>
      <c r="L8" s="47">
        <f t="shared" ref="L8:M8" si="1">0</f>
        <v>0</v>
      </c>
      <c r="M8" s="47">
        <f t="shared" si="1"/>
        <v>0</v>
      </c>
      <c r="N8" s="42"/>
      <c r="O8" s="43" t="s">
        <v>64</v>
      </c>
      <c r="P8" s="47">
        <f>M13-M12</f>
        <v>2402938.167</v>
      </c>
      <c r="Q8" s="37"/>
    </row>
    <row r="9">
      <c r="B9" s="48" t="s">
        <v>65</v>
      </c>
      <c r="C9" s="49">
        <f>Receitas!D17</f>
        <v>378000</v>
      </c>
      <c r="D9" s="49">
        <f>Receitas!H17</f>
        <v>1512000</v>
      </c>
      <c r="E9" s="49">
        <f>Receitas!L17</f>
        <v>3292079.893</v>
      </c>
      <c r="F9" s="49">
        <f>Receitas!P17</f>
        <v>6048000</v>
      </c>
      <c r="G9" s="49">
        <f>Receitas!T17</f>
        <v>7560000</v>
      </c>
      <c r="H9" s="42"/>
      <c r="I9" s="46">
        <v>1.0</v>
      </c>
      <c r="J9" s="47">
        <f>C11</f>
        <v>-1202720.901</v>
      </c>
      <c r="K9" s="42"/>
      <c r="L9" s="47">
        <f>-PV(C3,I9,,J9)</f>
        <v>-1002267.417</v>
      </c>
      <c r="M9" s="47">
        <f>L9</f>
        <v>-1002267.417</v>
      </c>
      <c r="N9" s="42"/>
      <c r="O9" s="43" t="s">
        <v>66</v>
      </c>
      <c r="P9" s="50">
        <f>P7/P8</f>
        <v>0.04630220883</v>
      </c>
      <c r="Q9" s="37"/>
    </row>
    <row r="10">
      <c r="B10" s="51" t="s">
        <v>67</v>
      </c>
      <c r="C10" s="52">
        <f>Despesas!H27</f>
        <v>1580720.901</v>
      </c>
      <c r="D10" s="52">
        <f>Despesas!H27</f>
        <v>1580720.901</v>
      </c>
      <c r="E10" s="52">
        <f>Despesas!H27</f>
        <v>1580720.901</v>
      </c>
      <c r="F10" s="52">
        <f>Despesas!H27</f>
        <v>1580720.901</v>
      </c>
      <c r="G10" s="52">
        <f>Despesas!H27</f>
        <v>1580720.901</v>
      </c>
      <c r="H10" s="42"/>
      <c r="I10" s="46">
        <v>2.0</v>
      </c>
      <c r="J10" s="47">
        <f>D11</f>
        <v>-68720.90086</v>
      </c>
      <c r="K10" s="42"/>
      <c r="L10" s="47">
        <f>PV(C3,I10,,-J10)</f>
        <v>-47722.84782</v>
      </c>
      <c r="M10" s="47">
        <f t="shared" ref="M10:M13" si="3">L10+M9</f>
        <v>-1049990.265</v>
      </c>
      <c r="N10" s="35"/>
      <c r="O10" s="35"/>
      <c r="P10" s="35"/>
      <c r="Q10" s="37"/>
    </row>
    <row r="11">
      <c r="B11" s="53" t="s">
        <v>68</v>
      </c>
      <c r="C11" s="54">
        <f t="shared" ref="C11:G11" si="2">C9-C10</f>
        <v>-1202720.901</v>
      </c>
      <c r="D11" s="54">
        <f t="shared" si="2"/>
        <v>-68720.90086</v>
      </c>
      <c r="E11" s="55">
        <f t="shared" si="2"/>
        <v>1711358.992</v>
      </c>
      <c r="F11" s="55">
        <f t="shared" si="2"/>
        <v>4467279.099</v>
      </c>
      <c r="G11" s="55">
        <f t="shared" si="2"/>
        <v>5979279.099</v>
      </c>
      <c r="H11" s="42"/>
      <c r="I11" s="46">
        <v>3.0</v>
      </c>
      <c r="J11" s="47">
        <f>E11</f>
        <v>1711358.992</v>
      </c>
      <c r="K11" s="42"/>
      <c r="L11" s="47">
        <f>PV(C3,I11,,-J11)</f>
        <v>990369.7869</v>
      </c>
      <c r="M11" s="47">
        <f t="shared" si="3"/>
        <v>-59620.47826</v>
      </c>
      <c r="N11" s="35"/>
      <c r="O11" s="35"/>
      <c r="P11" s="35"/>
      <c r="Q11" s="37"/>
    </row>
    <row r="12">
      <c r="B12" s="35"/>
      <c r="C12" s="56"/>
      <c r="D12" s="56"/>
      <c r="E12" s="56"/>
      <c r="F12" s="56"/>
      <c r="G12" s="56"/>
      <c r="H12" s="42"/>
      <c r="I12" s="46">
        <v>4.0</v>
      </c>
      <c r="J12" s="47">
        <f>F11</f>
        <v>4467279.099</v>
      </c>
      <c r="K12" s="42"/>
      <c r="L12" s="47">
        <f>PV(C3,I12,,-J12)</f>
        <v>2154359.133</v>
      </c>
      <c r="M12" s="57">
        <f t="shared" si="3"/>
        <v>2094738.655</v>
      </c>
      <c r="N12" s="35"/>
      <c r="O12" s="35"/>
      <c r="P12" s="35"/>
      <c r="Q12" s="37"/>
    </row>
    <row r="13">
      <c r="B13" s="35"/>
      <c r="C13" s="35"/>
      <c r="D13" s="35"/>
      <c r="E13" s="35"/>
      <c r="F13" s="35"/>
      <c r="G13" s="35"/>
      <c r="H13" s="42"/>
      <c r="I13" s="46">
        <v>5.0</v>
      </c>
      <c r="J13" s="47">
        <f>G11</f>
        <v>5979279.099</v>
      </c>
      <c r="K13" s="42"/>
      <c r="L13" s="47">
        <f>PV(C3,I13,,-J13)</f>
        <v>2402938.167</v>
      </c>
      <c r="M13" s="57">
        <f t="shared" si="3"/>
        <v>4497676.822</v>
      </c>
      <c r="N13" s="35"/>
      <c r="O13" s="35"/>
      <c r="P13" s="35"/>
      <c r="Q13" s="37"/>
    </row>
    <row r="14">
      <c r="B14" s="35"/>
      <c r="C14" s="35"/>
      <c r="D14" s="35"/>
      <c r="E14" s="35"/>
      <c r="F14" s="35"/>
      <c r="G14" s="35"/>
      <c r="H14" s="42"/>
      <c r="I14" s="58" t="s">
        <v>69</v>
      </c>
      <c r="J14" s="59">
        <f t="array" ref="J14">NPV(C3,J9:J13)</f>
        <v>4497676.822</v>
      </c>
      <c r="K14" s="60" t="s">
        <v>55</v>
      </c>
      <c r="L14" s="35"/>
      <c r="M14" s="35"/>
      <c r="N14" s="35"/>
      <c r="O14" s="35"/>
      <c r="P14" s="35"/>
      <c r="Q14" s="37"/>
    </row>
    <row r="15">
      <c r="B15" s="35"/>
      <c r="C15" s="35"/>
      <c r="D15" s="35"/>
      <c r="E15" s="35"/>
      <c r="F15" s="35"/>
      <c r="G15" s="35"/>
      <c r="H15" s="42"/>
      <c r="I15" s="58" t="s">
        <v>70</v>
      </c>
      <c r="J15" s="59">
        <f t="array" ref="J15">NPV(C3,J9:J13)+J8</f>
        <v>2291676.822</v>
      </c>
      <c r="K15" s="60" t="s">
        <v>55</v>
      </c>
      <c r="L15" s="35"/>
      <c r="M15" s="35"/>
      <c r="N15" s="35"/>
      <c r="O15" s="35"/>
      <c r="P15" s="35"/>
      <c r="Q15" s="37"/>
    </row>
    <row r="16">
      <c r="B16" s="35"/>
      <c r="C16" s="35"/>
      <c r="D16" s="35"/>
      <c r="E16" s="35"/>
      <c r="F16" s="35"/>
      <c r="G16" s="35"/>
      <c r="H16" s="42"/>
      <c r="I16" s="58" t="s">
        <v>71</v>
      </c>
      <c r="J16" s="59">
        <f>PMT(C3,I13,-J15)</f>
        <v>766290.2158</v>
      </c>
      <c r="K16" s="60" t="s">
        <v>55</v>
      </c>
      <c r="L16" s="35"/>
      <c r="M16" s="35"/>
      <c r="N16" s="35"/>
      <c r="O16" s="35"/>
      <c r="P16" s="35"/>
      <c r="Q16" s="37"/>
    </row>
    <row r="17">
      <c r="B17" s="35"/>
      <c r="C17" s="35"/>
      <c r="D17" s="35"/>
      <c r="E17" s="35"/>
      <c r="F17" s="35"/>
      <c r="G17" s="35"/>
      <c r="H17" s="42"/>
      <c r="I17" s="58" t="s">
        <v>72</v>
      </c>
      <c r="J17" s="61">
        <f>J14/-J8</f>
        <v>2.038838088</v>
      </c>
      <c r="K17" s="62"/>
      <c r="L17" s="35"/>
      <c r="M17" s="35"/>
      <c r="N17" s="35"/>
      <c r="O17" s="35"/>
      <c r="P17" s="35"/>
      <c r="Q17" s="37"/>
    </row>
    <row r="18">
      <c r="B18" s="35"/>
      <c r="C18" s="35"/>
      <c r="D18" s="35"/>
      <c r="E18" s="35"/>
      <c r="F18" s="35"/>
      <c r="G18" s="35"/>
      <c r="H18" s="42"/>
      <c r="I18" s="58" t="s">
        <v>73</v>
      </c>
      <c r="J18" s="63">
        <f>RATE(I13,,-1,J17)</f>
        <v>0.1531254243</v>
      </c>
      <c r="K18" s="60" t="s">
        <v>55</v>
      </c>
      <c r="M18" s="35"/>
      <c r="N18" s="35"/>
      <c r="O18" s="35"/>
      <c r="P18" s="35"/>
      <c r="Q18" s="37"/>
    </row>
    <row r="19">
      <c r="B19" s="35"/>
      <c r="C19" s="35"/>
      <c r="D19" s="35"/>
      <c r="E19" s="35"/>
      <c r="F19" s="35"/>
      <c r="G19" s="35"/>
      <c r="H19" s="42"/>
      <c r="I19" s="58" t="s">
        <v>74</v>
      </c>
      <c r="J19" s="64">
        <f>I12+P9</f>
        <v>4.046302209</v>
      </c>
      <c r="K19" s="60" t="s">
        <v>75</v>
      </c>
      <c r="M19" s="35"/>
      <c r="N19" s="35"/>
      <c r="O19" s="35"/>
      <c r="P19" s="35"/>
      <c r="Q19" s="37"/>
    </row>
    <row r="20">
      <c r="B20" s="35"/>
      <c r="C20" s="35"/>
      <c r="D20" s="35"/>
      <c r="E20" s="35"/>
      <c r="F20" s="35"/>
      <c r="G20" s="35"/>
      <c r="H20" s="42"/>
      <c r="I20" s="58" t="s">
        <v>76</v>
      </c>
      <c r="J20" s="65">
        <f>IRR(J8:J13)</f>
        <v>0.375864577</v>
      </c>
      <c r="K20" s="60" t="s">
        <v>55</v>
      </c>
      <c r="M20" s="35"/>
      <c r="N20" s="35"/>
      <c r="O20" s="35"/>
      <c r="P20" s="35"/>
      <c r="Q20" s="37"/>
    </row>
    <row r="21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</sheetData>
  <mergeCells count="1">
    <mergeCell ref="J2:L3"/>
  </mergeCell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20.5"/>
    <col customWidth="1" min="3" max="3" width="13.5"/>
    <col customWidth="1" min="4" max="4" width="14.63"/>
    <col customWidth="1" min="5" max="5" width="14.38"/>
    <col customWidth="1" min="6" max="6" width="14.25"/>
    <col customWidth="1" min="7" max="7" width="13.63"/>
    <col customWidth="1" min="12" max="12" width="14.38"/>
    <col customWidth="1" min="13" max="13" width="14.25"/>
    <col customWidth="1" min="14" max="14" width="11.38"/>
    <col customWidth="1" min="15" max="15" width="19.88"/>
  </cols>
  <sheetData>
    <row r="2">
      <c r="J2" s="66" t="s">
        <v>77</v>
      </c>
      <c r="N2" s="35"/>
      <c r="O2" s="35"/>
      <c r="P2" s="35"/>
      <c r="Q2" s="37"/>
    </row>
    <row r="3">
      <c r="B3" s="67" t="s">
        <v>78</v>
      </c>
      <c r="C3" s="68">
        <v>-0.2</v>
      </c>
      <c r="N3" s="35"/>
      <c r="O3" s="35"/>
      <c r="P3" s="35"/>
      <c r="Q3" s="37"/>
    </row>
    <row r="4">
      <c r="B4" s="69" t="s">
        <v>79</v>
      </c>
      <c r="C4" s="70">
        <v>0.05</v>
      </c>
      <c r="N4" s="35"/>
      <c r="O4" s="35"/>
      <c r="P4" s="35"/>
      <c r="Q4" s="37"/>
    </row>
    <row r="5">
      <c r="N5" s="35"/>
      <c r="O5" s="35"/>
      <c r="P5" s="35"/>
      <c r="Q5" s="37"/>
    </row>
    <row r="6">
      <c r="B6" s="34"/>
      <c r="C6" s="34"/>
      <c r="D6" s="35"/>
      <c r="E6" s="35"/>
      <c r="F6" s="35"/>
      <c r="G6" s="35"/>
      <c r="H6" s="35"/>
      <c r="I6" s="35"/>
      <c r="M6" s="35"/>
      <c r="N6" s="35"/>
      <c r="O6" s="35"/>
      <c r="P6" s="35"/>
    </row>
    <row r="7">
      <c r="B7" s="38" t="s">
        <v>54</v>
      </c>
      <c r="C7" s="39">
        <v>0.2</v>
      </c>
      <c r="D7" s="35" t="s">
        <v>55</v>
      </c>
      <c r="E7" s="35"/>
      <c r="F7" s="35"/>
      <c r="G7" s="35"/>
      <c r="H7" s="35"/>
      <c r="I7" s="35"/>
      <c r="M7" s="35"/>
      <c r="N7" s="35"/>
    </row>
    <row r="8">
      <c r="B8" s="38" t="s">
        <v>56</v>
      </c>
      <c r="C8" s="39">
        <f>RATE(12,,-1,1.2)</f>
        <v>0.0153094705</v>
      </c>
      <c r="D8" s="35" t="s">
        <v>57</v>
      </c>
      <c r="E8" s="35"/>
      <c r="F8" s="35"/>
      <c r="G8" s="35"/>
      <c r="H8" s="35"/>
      <c r="I8" s="35"/>
      <c r="J8" s="35"/>
      <c r="K8" s="35"/>
      <c r="L8" s="35"/>
      <c r="M8" s="35"/>
      <c r="N8" s="35"/>
      <c r="Q8" s="37"/>
    </row>
    <row r="9">
      <c r="B9" s="40" t="s">
        <v>58</v>
      </c>
      <c r="C9" s="41">
        <f>Investimento!G7</f>
        <v>2206000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Q9" s="37"/>
    </row>
    <row r="10">
      <c r="B10" s="35"/>
      <c r="C10" s="35"/>
      <c r="D10" s="35"/>
      <c r="E10" s="35"/>
      <c r="F10" s="35"/>
      <c r="G10" s="35"/>
      <c r="H10" s="35"/>
      <c r="I10" s="34"/>
      <c r="J10" s="34"/>
      <c r="K10" s="35"/>
      <c r="L10" s="34"/>
      <c r="M10" s="34"/>
      <c r="N10" s="35"/>
      <c r="O10" s="35"/>
      <c r="P10" s="35"/>
      <c r="Q10" s="37"/>
    </row>
    <row r="11">
      <c r="B11" s="35"/>
      <c r="C11" s="35"/>
      <c r="D11" s="35"/>
      <c r="E11" s="35"/>
      <c r="F11" s="35"/>
      <c r="G11" s="35"/>
      <c r="H11" s="42"/>
      <c r="I11" s="43" t="s">
        <v>59</v>
      </c>
      <c r="J11" s="43" t="s">
        <v>60</v>
      </c>
      <c r="K11" s="42"/>
      <c r="L11" s="43" t="s">
        <v>61</v>
      </c>
      <c r="M11" s="43" t="s">
        <v>62</v>
      </c>
      <c r="N11" s="35"/>
      <c r="O11" s="43" t="s">
        <v>63</v>
      </c>
      <c r="P11" s="44">
        <f>-J12-M16</f>
        <v>1553225.785</v>
      </c>
      <c r="Q11" s="37"/>
    </row>
    <row r="12">
      <c r="B12" s="34"/>
      <c r="C12" s="45" t="s">
        <v>46</v>
      </c>
      <c r="D12" s="45" t="s">
        <v>47</v>
      </c>
      <c r="E12" s="45" t="s">
        <v>48</v>
      </c>
      <c r="F12" s="45" t="s">
        <v>49</v>
      </c>
      <c r="G12" s="45" t="s">
        <v>50</v>
      </c>
      <c r="H12" s="42"/>
      <c r="I12" s="46">
        <v>0.0</v>
      </c>
      <c r="J12" s="47">
        <f>-C9</f>
        <v>-2206000</v>
      </c>
      <c r="K12" s="42"/>
      <c r="L12" s="47">
        <f t="shared" ref="L12:M12" si="1">-E9</f>
        <v>0</v>
      </c>
      <c r="M12" s="47">
        <f t="shared" si="1"/>
        <v>0</v>
      </c>
      <c r="N12" s="35"/>
      <c r="O12" s="43" t="s">
        <v>64</v>
      </c>
      <c r="P12" s="47">
        <f>M17-M16</f>
        <v>1763536.464</v>
      </c>
      <c r="Q12" s="37"/>
    </row>
    <row r="13">
      <c r="B13" s="48" t="s">
        <v>65</v>
      </c>
      <c r="C13" s="49">
        <f>(Real!C9*C3)+Real!C9</f>
        <v>302400</v>
      </c>
      <c r="D13" s="49">
        <f>(Real!D9*C3)+Real!D9</f>
        <v>1209600</v>
      </c>
      <c r="E13" s="49">
        <f>(Real!E9*C3)+Real!E9</f>
        <v>2633663.914</v>
      </c>
      <c r="F13" s="49">
        <f>(Real!F9*C3)+Real!F9</f>
        <v>4838400</v>
      </c>
      <c r="G13" s="49">
        <f>(Real!G9*C3)+Real!G9</f>
        <v>6048000</v>
      </c>
      <c r="H13" s="42"/>
      <c r="I13" s="46">
        <v>1.0</v>
      </c>
      <c r="J13" s="47">
        <f>C15</f>
        <v>-1357356.946</v>
      </c>
      <c r="K13" s="42"/>
      <c r="L13" s="47">
        <f>-PV(C7,I13,,J13)</f>
        <v>-1131130.788</v>
      </c>
      <c r="M13" s="47">
        <f>L13</f>
        <v>-1131130.788</v>
      </c>
      <c r="N13" s="35"/>
      <c r="O13" s="43" t="s">
        <v>66</v>
      </c>
      <c r="P13" s="50">
        <f>P11/P12</f>
        <v>0.880744922</v>
      </c>
      <c r="Q13" s="37"/>
    </row>
    <row r="14">
      <c r="B14" s="51" t="s">
        <v>67</v>
      </c>
      <c r="C14" s="52">
        <f>(Real!C10*C4)+Real!C10</f>
        <v>1659756.946</v>
      </c>
      <c r="D14" s="52">
        <f>(Real!D10*C4)+Real!D10</f>
        <v>1659756.946</v>
      </c>
      <c r="E14" s="52">
        <f>(Real!E10*C4)+Real!E10</f>
        <v>1659756.946</v>
      </c>
      <c r="F14" s="52">
        <f>(Real!F10*C4)+Real!F10</f>
        <v>1659756.946</v>
      </c>
      <c r="G14" s="52">
        <f>(Real!G10*C4)+Real!G10</f>
        <v>1659756.946</v>
      </c>
      <c r="H14" s="42"/>
      <c r="I14" s="46">
        <v>2.0</v>
      </c>
      <c r="J14" s="47">
        <f>D15</f>
        <v>-450156.9459</v>
      </c>
      <c r="K14" s="42"/>
      <c r="L14" s="47">
        <f>PV(C7,I14,,-J14)</f>
        <v>-312608.9902</v>
      </c>
      <c r="M14" s="47">
        <f t="shared" ref="M14:M17" si="3">L14+M13</f>
        <v>-1443739.778</v>
      </c>
      <c r="N14" s="35"/>
      <c r="O14" s="35"/>
      <c r="P14" s="35"/>
      <c r="Q14" s="37"/>
    </row>
    <row r="15">
      <c r="B15" s="53" t="s">
        <v>68</v>
      </c>
      <c r="C15" s="54">
        <f t="shared" ref="C15:G15" si="2">C13-C14</f>
        <v>-1357356.946</v>
      </c>
      <c r="D15" s="54">
        <f t="shared" si="2"/>
        <v>-450156.9459</v>
      </c>
      <c r="E15" s="55">
        <f t="shared" si="2"/>
        <v>973906.9683</v>
      </c>
      <c r="F15" s="55">
        <f t="shared" si="2"/>
        <v>3178643.054</v>
      </c>
      <c r="G15" s="55">
        <f t="shared" si="2"/>
        <v>4388243.054</v>
      </c>
      <c r="H15" s="42"/>
      <c r="I15" s="46">
        <v>3.0</v>
      </c>
      <c r="J15" s="47">
        <f>E15</f>
        <v>973906.9683</v>
      </c>
      <c r="K15" s="42"/>
      <c r="L15" s="47">
        <f>PV(C7,I15,,-J15)</f>
        <v>563603.5696</v>
      </c>
      <c r="M15" s="47">
        <f t="shared" si="3"/>
        <v>-880136.2089</v>
      </c>
      <c r="N15" s="35"/>
      <c r="O15" s="35"/>
      <c r="P15" s="35"/>
      <c r="Q15" s="37"/>
    </row>
    <row r="16">
      <c r="B16" s="35"/>
      <c r="C16" s="56"/>
      <c r="D16" s="56"/>
      <c r="E16" s="56"/>
      <c r="F16" s="56"/>
      <c r="G16" s="56"/>
      <c r="H16" s="42"/>
      <c r="I16" s="46">
        <v>4.0</v>
      </c>
      <c r="J16" s="47">
        <f>F15</f>
        <v>3178643.054</v>
      </c>
      <c r="K16" s="42"/>
      <c r="L16" s="47">
        <f>PV(C7,I16,,-J16)</f>
        <v>1532910.423</v>
      </c>
      <c r="M16" s="57">
        <f t="shared" si="3"/>
        <v>652774.2146</v>
      </c>
      <c r="N16" s="35"/>
      <c r="O16" s="35"/>
      <c r="P16" s="35"/>
      <c r="Q16" s="37"/>
    </row>
    <row r="17">
      <c r="B17" s="35"/>
      <c r="C17" s="35"/>
      <c r="D17" s="35"/>
      <c r="E17" s="35"/>
      <c r="F17" s="35"/>
      <c r="G17" s="35"/>
      <c r="H17" s="42"/>
      <c r="I17" s="46">
        <v>5.0</v>
      </c>
      <c r="J17" s="47">
        <f>G15</f>
        <v>4388243.054</v>
      </c>
      <c r="K17" s="42"/>
      <c r="L17" s="47">
        <f>PV(C7,I17,,-J17)</f>
        <v>1763536.464</v>
      </c>
      <c r="M17" s="57">
        <f t="shared" si="3"/>
        <v>2416310.679</v>
      </c>
      <c r="N17" s="35"/>
      <c r="O17" s="35"/>
      <c r="P17" s="35"/>
      <c r="Q17" s="37"/>
    </row>
    <row r="18">
      <c r="B18" s="35"/>
      <c r="C18" s="35"/>
      <c r="D18" s="35"/>
      <c r="E18" s="35"/>
      <c r="F18" s="35"/>
      <c r="G18" s="35"/>
      <c r="H18" s="42"/>
      <c r="I18" s="58" t="s">
        <v>69</v>
      </c>
      <c r="J18" s="59">
        <f t="array" ref="J18">NPV(C7,J13:J17)</f>
        <v>2416310.679</v>
      </c>
      <c r="K18" s="60" t="s">
        <v>55</v>
      </c>
      <c r="L18" s="35"/>
      <c r="M18" s="35"/>
      <c r="N18" s="35"/>
      <c r="O18" s="35"/>
      <c r="P18" s="35"/>
      <c r="Q18" s="37"/>
    </row>
    <row r="19">
      <c r="B19" s="35"/>
      <c r="C19" s="35"/>
      <c r="D19" s="35"/>
      <c r="E19" s="35"/>
      <c r="F19" s="35"/>
      <c r="G19" s="35"/>
      <c r="H19" s="42"/>
      <c r="I19" s="58" t="s">
        <v>70</v>
      </c>
      <c r="J19" s="59">
        <f t="array" ref="J19">NPV(C7,J13:J17)+J12</f>
        <v>210310.6786</v>
      </c>
      <c r="K19" s="60" t="s">
        <v>55</v>
      </c>
      <c r="L19" s="35"/>
      <c r="M19" s="35"/>
      <c r="N19" s="35"/>
      <c r="O19" s="35"/>
      <c r="P19" s="35"/>
      <c r="Q19" s="37"/>
    </row>
    <row r="20">
      <c r="B20" s="35"/>
      <c r="C20" s="35"/>
      <c r="D20" s="35"/>
      <c r="E20" s="35"/>
      <c r="F20" s="35"/>
      <c r="G20" s="35"/>
      <c r="H20" s="42"/>
      <c r="I20" s="58" t="s">
        <v>71</v>
      </c>
      <c r="J20" s="59">
        <f>PMT(C7,I17,-J19)</f>
        <v>70323.62231</v>
      </c>
      <c r="K20" s="60" t="s">
        <v>55</v>
      </c>
      <c r="L20" s="35"/>
      <c r="M20" s="35"/>
      <c r="N20" s="35"/>
      <c r="O20" s="35"/>
      <c r="P20" s="35"/>
      <c r="Q20" s="37"/>
    </row>
    <row r="21">
      <c r="B21" s="35"/>
      <c r="C21" s="35"/>
      <c r="D21" s="35"/>
      <c r="E21" s="35"/>
      <c r="F21" s="35"/>
      <c r="G21" s="35"/>
      <c r="H21" s="42"/>
      <c r="I21" s="58" t="s">
        <v>72</v>
      </c>
      <c r="J21" s="61">
        <f>J18/-J12</f>
        <v>1.095335756</v>
      </c>
      <c r="K21" s="62"/>
      <c r="L21" s="35"/>
      <c r="M21" s="35"/>
      <c r="N21" s="37"/>
      <c r="O21" s="37"/>
      <c r="P21" s="37"/>
    </row>
    <row r="22">
      <c r="B22" s="35"/>
      <c r="C22" s="35"/>
      <c r="D22" s="35"/>
      <c r="E22" s="35"/>
      <c r="F22" s="35"/>
      <c r="G22" s="35"/>
      <c r="H22" s="42"/>
      <c r="I22" s="58" t="s">
        <v>73</v>
      </c>
      <c r="J22" s="63">
        <f>RATE(I17,,-1,J21)</f>
        <v>0.01837904191</v>
      </c>
      <c r="K22" s="60" t="s">
        <v>55</v>
      </c>
      <c r="M22" s="35"/>
      <c r="N22" s="37"/>
      <c r="O22" s="37"/>
      <c r="P22" s="37"/>
    </row>
    <row r="23">
      <c r="B23" s="35"/>
      <c r="C23" s="35"/>
      <c r="D23" s="35"/>
      <c r="E23" s="35"/>
      <c r="F23" s="35"/>
      <c r="G23" s="35"/>
      <c r="H23" s="42"/>
      <c r="I23" s="58" t="s">
        <v>74</v>
      </c>
      <c r="J23" s="64">
        <f>I16+P13</f>
        <v>4.880744922</v>
      </c>
      <c r="K23" s="60" t="s">
        <v>75</v>
      </c>
      <c r="M23" s="35"/>
    </row>
    <row r="24">
      <c r="B24" s="35"/>
      <c r="C24" s="35"/>
      <c r="D24" s="35"/>
      <c r="E24" s="35"/>
      <c r="F24" s="35"/>
      <c r="G24" s="35"/>
      <c r="H24" s="42"/>
      <c r="I24" s="58" t="s">
        <v>76</v>
      </c>
      <c r="J24" s="65">
        <f>IRR(J12:J17)</f>
        <v>0.2176870275</v>
      </c>
      <c r="K24" s="60" t="s">
        <v>55</v>
      </c>
      <c r="M24" s="35"/>
    </row>
  </sheetData>
  <mergeCells count="1">
    <mergeCell ref="J2:L3"/>
  </mergeCell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75"/>
    <col customWidth="1" min="3" max="3" width="14.38"/>
    <col customWidth="1" min="4" max="4" width="14.25"/>
    <col customWidth="1" min="5" max="5" width="13.63"/>
    <col customWidth="1" min="6" max="6" width="14.38"/>
    <col customWidth="1" min="7" max="7" width="14.13"/>
    <col customWidth="1" min="10" max="10" width="14.0"/>
    <col customWidth="1" min="12" max="13" width="14.38"/>
    <col customWidth="1" min="14" max="14" width="10.25"/>
    <col customWidth="1" min="15" max="15" width="18.63"/>
    <col customWidth="1" min="16" max="16" width="13.75"/>
  </cols>
  <sheetData>
    <row r="2">
      <c r="J2" s="71" t="s">
        <v>80</v>
      </c>
    </row>
    <row r="3">
      <c r="B3" s="67" t="s">
        <v>78</v>
      </c>
      <c r="C3" s="68">
        <v>0.2</v>
      </c>
    </row>
    <row r="4">
      <c r="B4" s="72"/>
      <c r="C4" s="72"/>
      <c r="D4" s="72"/>
      <c r="E4" s="72"/>
      <c r="F4" s="72"/>
      <c r="G4" s="73"/>
    </row>
    <row r="6">
      <c r="B6" s="34"/>
      <c r="C6" s="34"/>
      <c r="D6" s="35"/>
      <c r="E6" s="35"/>
      <c r="F6" s="35"/>
      <c r="G6" s="35"/>
      <c r="H6" s="35"/>
      <c r="I6" s="35"/>
      <c r="M6" s="35"/>
    </row>
    <row r="7">
      <c r="B7" s="38" t="s">
        <v>54</v>
      </c>
      <c r="C7" s="39">
        <v>0.2</v>
      </c>
      <c r="D7" s="35" t="s">
        <v>55</v>
      </c>
      <c r="E7" s="35"/>
      <c r="F7" s="35"/>
      <c r="G7" s="35"/>
      <c r="H7" s="35"/>
      <c r="I7" s="35"/>
      <c r="M7" s="35"/>
    </row>
    <row r="8">
      <c r="B8" s="38" t="s">
        <v>56</v>
      </c>
      <c r="C8" s="39">
        <f>RATE(12,,-1,1.2)</f>
        <v>0.0153094705</v>
      </c>
      <c r="D8" s="35" t="s">
        <v>57</v>
      </c>
      <c r="E8" s="35"/>
      <c r="F8" s="35"/>
      <c r="G8" s="35"/>
      <c r="H8" s="35"/>
      <c r="I8" s="35"/>
      <c r="J8" s="35"/>
      <c r="K8" s="35"/>
      <c r="L8" s="35"/>
      <c r="M8" s="35"/>
    </row>
    <row r="9">
      <c r="B9" s="40" t="s">
        <v>58</v>
      </c>
      <c r="C9" s="41">
        <f>Investimento!G7</f>
        <v>2206000</v>
      </c>
      <c r="D9" s="35"/>
      <c r="E9" s="35"/>
      <c r="F9" s="35"/>
      <c r="G9" s="35"/>
      <c r="H9" s="35"/>
      <c r="I9" s="35"/>
      <c r="J9" s="35"/>
      <c r="K9" s="35"/>
      <c r="L9" s="35"/>
      <c r="M9" s="35"/>
    </row>
    <row r="10">
      <c r="B10" s="35"/>
      <c r="C10" s="35"/>
      <c r="D10" s="35"/>
      <c r="E10" s="35"/>
      <c r="F10" s="35"/>
      <c r="G10" s="35"/>
      <c r="H10" s="35"/>
      <c r="I10" s="34"/>
      <c r="J10" s="34"/>
      <c r="K10" s="35"/>
      <c r="L10" s="34"/>
      <c r="M10" s="34"/>
    </row>
    <row r="11">
      <c r="B11" s="35"/>
      <c r="C11" s="35"/>
      <c r="D11" s="35"/>
      <c r="E11" s="35"/>
      <c r="F11" s="35"/>
      <c r="G11" s="35"/>
      <c r="H11" s="42"/>
      <c r="I11" s="43" t="s">
        <v>59</v>
      </c>
      <c r="J11" s="43" t="s">
        <v>60</v>
      </c>
      <c r="K11" s="42"/>
      <c r="L11" s="43" t="s">
        <v>61</v>
      </c>
      <c r="M11" s="43" t="s">
        <v>62</v>
      </c>
      <c r="O11" s="43" t="s">
        <v>63</v>
      </c>
      <c r="P11" s="44">
        <f>-J12-M16</f>
        <v>-1126099.754</v>
      </c>
    </row>
    <row r="12">
      <c r="B12" s="34"/>
      <c r="C12" s="45" t="s">
        <v>46</v>
      </c>
      <c r="D12" s="45" t="s">
        <v>47</v>
      </c>
      <c r="E12" s="45" t="s">
        <v>48</v>
      </c>
      <c r="F12" s="45" t="s">
        <v>49</v>
      </c>
      <c r="G12" s="45" t="s">
        <v>50</v>
      </c>
      <c r="H12" s="42"/>
      <c r="I12" s="46">
        <v>0.0</v>
      </c>
      <c r="J12" s="47">
        <f>-C9</f>
        <v>-2206000</v>
      </c>
      <c r="K12" s="42"/>
      <c r="L12" s="47">
        <f t="shared" ref="L12:M12" si="1">0</f>
        <v>0</v>
      </c>
      <c r="M12" s="47">
        <f t="shared" si="1"/>
        <v>0</v>
      </c>
      <c r="O12" s="43" t="s">
        <v>64</v>
      </c>
      <c r="P12" s="47">
        <f>M17-M16</f>
        <v>3010577.056</v>
      </c>
    </row>
    <row r="13">
      <c r="B13" s="48" t="s">
        <v>65</v>
      </c>
      <c r="C13" s="49">
        <f>(Real!C9*C3)+Real!C9</f>
        <v>453600</v>
      </c>
      <c r="D13" s="49">
        <f>(Real!D9*C3)+Real!D9</f>
        <v>1814400</v>
      </c>
      <c r="E13" s="49">
        <f>(Real!E9*C3)+Real!E9</f>
        <v>3950495.871</v>
      </c>
      <c r="F13" s="49">
        <f>(Real!F9*C3)+Real!F9</f>
        <v>7257600</v>
      </c>
      <c r="G13" s="49">
        <f>(Real!G9*C3)+Real!G9</f>
        <v>9072000</v>
      </c>
      <c r="H13" s="42"/>
      <c r="I13" s="46">
        <v>1.0</v>
      </c>
      <c r="J13" s="47">
        <f>C15</f>
        <v>-1127120.901</v>
      </c>
      <c r="K13" s="42"/>
      <c r="L13" s="47">
        <f>-PV(C7,I13,,J13)</f>
        <v>-939267.4174</v>
      </c>
      <c r="M13" s="47">
        <f>L13</f>
        <v>-939267.4174</v>
      </c>
      <c r="O13" s="43" t="s">
        <v>66</v>
      </c>
      <c r="P13" s="50">
        <f>P11/P12</f>
        <v>-0.3740478098</v>
      </c>
    </row>
    <row r="14">
      <c r="B14" s="51" t="s">
        <v>67</v>
      </c>
      <c r="C14" s="52">
        <f>Real!C10</f>
        <v>1580720.901</v>
      </c>
      <c r="D14" s="52">
        <f>Real!D10</f>
        <v>1580720.901</v>
      </c>
      <c r="E14" s="52">
        <f>Real!E10</f>
        <v>1580720.901</v>
      </c>
      <c r="F14" s="52">
        <f>Real!F10</f>
        <v>1580720.901</v>
      </c>
      <c r="G14" s="52">
        <f>Real!G10</f>
        <v>1580720.901</v>
      </c>
      <c r="H14" s="42"/>
      <c r="I14" s="46">
        <v>2.0</v>
      </c>
      <c r="J14" s="47">
        <f>D15</f>
        <v>233679.0991</v>
      </c>
      <c r="K14" s="42"/>
      <c r="L14" s="47">
        <f>PV(C7,I14,,-J14)</f>
        <v>162277.1522</v>
      </c>
      <c r="M14" s="47">
        <f t="shared" ref="M14:M17" si="3">L14+M13</f>
        <v>-776990.2652</v>
      </c>
    </row>
    <row r="15">
      <c r="B15" s="53" t="s">
        <v>68</v>
      </c>
      <c r="C15" s="54">
        <f t="shared" ref="C15:G15" si="2">C13-C14</f>
        <v>-1127120.901</v>
      </c>
      <c r="D15" s="54">
        <f t="shared" si="2"/>
        <v>233679.0991</v>
      </c>
      <c r="E15" s="55">
        <f t="shared" si="2"/>
        <v>2369774.97</v>
      </c>
      <c r="F15" s="55">
        <f t="shared" si="2"/>
        <v>5676879.099</v>
      </c>
      <c r="G15" s="55">
        <f t="shared" si="2"/>
        <v>7491279.099</v>
      </c>
      <c r="H15" s="42"/>
      <c r="I15" s="46">
        <v>3.0</v>
      </c>
      <c r="J15" s="47">
        <f>E15</f>
        <v>2369774.97</v>
      </c>
      <c r="K15" s="42"/>
      <c r="L15" s="47">
        <f>PV(C7,I15,,-J15)</f>
        <v>1371397.552</v>
      </c>
      <c r="M15" s="47">
        <f t="shared" si="3"/>
        <v>594407.2871</v>
      </c>
    </row>
    <row r="16">
      <c r="B16" s="35"/>
      <c r="C16" s="56"/>
      <c r="D16" s="56"/>
      <c r="E16" s="56"/>
      <c r="F16" s="56"/>
      <c r="G16" s="56"/>
      <c r="H16" s="42"/>
      <c r="I16" s="46">
        <v>4.0</v>
      </c>
      <c r="J16" s="47">
        <f>F15</f>
        <v>5676879.099</v>
      </c>
      <c r="K16" s="42"/>
      <c r="L16" s="47">
        <f>PV(C7,I16,,-J16)</f>
        <v>2737692.467</v>
      </c>
      <c r="M16" s="57">
        <f t="shared" si="3"/>
        <v>3332099.754</v>
      </c>
    </row>
    <row r="17">
      <c r="B17" s="35"/>
      <c r="C17" s="35"/>
      <c r="D17" s="35"/>
      <c r="E17" s="35"/>
      <c r="F17" s="35"/>
      <c r="G17" s="35"/>
      <c r="H17" s="42"/>
      <c r="I17" s="46">
        <v>5.0</v>
      </c>
      <c r="J17" s="47">
        <f>G15</f>
        <v>7491279.099</v>
      </c>
      <c r="K17" s="42"/>
      <c r="L17" s="47">
        <f>PV(C7,I17,,-J17)</f>
        <v>3010577.056</v>
      </c>
      <c r="M17" s="57">
        <f t="shared" si="3"/>
        <v>6342676.81</v>
      </c>
    </row>
    <row r="18">
      <c r="B18" s="35"/>
      <c r="C18" s="35"/>
      <c r="D18" s="35"/>
      <c r="E18" s="35"/>
      <c r="F18" s="35"/>
      <c r="G18" s="35"/>
      <c r="H18" s="42"/>
      <c r="I18" s="58" t="s">
        <v>69</v>
      </c>
      <c r="J18" s="59">
        <f t="array" ref="J18">NPV(C7,J13:J17)</f>
        <v>6342676.81</v>
      </c>
      <c r="K18" s="60" t="s">
        <v>55</v>
      </c>
      <c r="L18" s="35"/>
      <c r="M18" s="35"/>
    </row>
    <row r="19">
      <c r="B19" s="35"/>
      <c r="C19" s="35"/>
      <c r="D19" s="35"/>
      <c r="E19" s="35"/>
      <c r="F19" s="35"/>
      <c r="G19" s="35"/>
      <c r="H19" s="42"/>
      <c r="I19" s="58" t="s">
        <v>70</v>
      </c>
      <c r="J19" s="59">
        <f t="array" ref="J19">NPV(C7,J13:J17)+J12</f>
        <v>4136676.81</v>
      </c>
      <c r="K19" s="60" t="s">
        <v>55</v>
      </c>
      <c r="L19" s="35"/>
      <c r="M19" s="35"/>
    </row>
    <row r="20">
      <c r="B20" s="35"/>
      <c r="C20" s="35"/>
      <c r="D20" s="35"/>
      <c r="E20" s="35"/>
      <c r="F20" s="35"/>
      <c r="G20" s="35"/>
      <c r="H20" s="42"/>
      <c r="I20" s="58" t="s">
        <v>71</v>
      </c>
      <c r="J20" s="59">
        <f>PMT(C7,I17,-J19)</f>
        <v>1383220.764</v>
      </c>
      <c r="K20" s="60" t="s">
        <v>55</v>
      </c>
      <c r="L20" s="35"/>
      <c r="M20" s="35"/>
    </row>
    <row r="21">
      <c r="B21" s="35"/>
      <c r="C21" s="35"/>
      <c r="D21" s="35"/>
      <c r="E21" s="35"/>
      <c r="F21" s="35"/>
      <c r="G21" s="35"/>
      <c r="H21" s="42"/>
      <c r="I21" s="58" t="s">
        <v>72</v>
      </c>
      <c r="J21" s="61">
        <f>J18/-J12</f>
        <v>2.875193477</v>
      </c>
      <c r="K21" s="62"/>
      <c r="L21" s="35"/>
      <c r="M21" s="35"/>
    </row>
    <row r="22">
      <c r="B22" s="35"/>
      <c r="C22" s="35"/>
      <c r="D22" s="35"/>
      <c r="E22" s="35"/>
      <c r="F22" s="35"/>
      <c r="G22" s="35"/>
      <c r="H22" s="42"/>
      <c r="I22" s="58" t="s">
        <v>73</v>
      </c>
      <c r="J22" s="63">
        <f>RATE(I17,,-1,J21)</f>
        <v>0.2351889986</v>
      </c>
      <c r="K22" s="60" t="s">
        <v>55</v>
      </c>
      <c r="M22" s="35"/>
    </row>
    <row r="23">
      <c r="B23" s="35"/>
      <c r="C23" s="35"/>
      <c r="D23" s="35"/>
      <c r="E23" s="35"/>
      <c r="F23" s="35"/>
      <c r="G23" s="35"/>
      <c r="H23" s="42"/>
      <c r="I23" s="58" t="s">
        <v>74</v>
      </c>
      <c r="J23" s="64">
        <f>I16+P13</f>
        <v>3.62595219</v>
      </c>
      <c r="K23" s="60" t="s">
        <v>75</v>
      </c>
      <c r="M23" s="35"/>
    </row>
    <row r="24">
      <c r="B24" s="35"/>
      <c r="C24" s="35"/>
      <c r="D24" s="35"/>
      <c r="E24" s="35"/>
      <c r="F24" s="35"/>
      <c r="G24" s="35"/>
      <c r="H24" s="42"/>
      <c r="I24" s="58" t="s">
        <v>76</v>
      </c>
      <c r="J24" s="65">
        <f>IRR(J12:J17)</f>
        <v>0.4941159513</v>
      </c>
      <c r="K24" s="60" t="s">
        <v>55</v>
      </c>
      <c r="M24" s="35"/>
    </row>
  </sheetData>
  <mergeCells count="1">
    <mergeCell ref="J2:L3"/>
  </mergeCell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0.13"/>
    <col customWidth="1" min="8" max="8" width="13.38"/>
    <col customWidth="1" min="11" max="11" width="14.0"/>
  </cols>
  <sheetData>
    <row r="1">
      <c r="D1" s="74" t="s">
        <v>81</v>
      </c>
    </row>
    <row r="4">
      <c r="D4" s="75" t="s">
        <v>82</v>
      </c>
      <c r="G4" s="76" t="s">
        <v>83</v>
      </c>
      <c r="J4" s="77" t="s">
        <v>84</v>
      </c>
    </row>
    <row r="5">
      <c r="D5" s="58" t="s">
        <v>69</v>
      </c>
      <c r="E5" s="59">
        <f>Real!J14</f>
        <v>4497676.822</v>
      </c>
      <c r="G5" s="78" t="s">
        <v>69</v>
      </c>
      <c r="H5" s="59">
        <f>Pessimista!J18</f>
        <v>2416310.679</v>
      </c>
      <c r="J5" s="79" t="s">
        <v>69</v>
      </c>
      <c r="K5" s="59">
        <f>Otimista!J18</f>
        <v>6342676.81</v>
      </c>
    </row>
    <row r="6">
      <c r="D6" s="58" t="s">
        <v>70</v>
      </c>
      <c r="E6" s="59">
        <f>Real!J15</f>
        <v>2291676.822</v>
      </c>
      <c r="G6" s="78" t="s">
        <v>70</v>
      </c>
      <c r="H6" s="59">
        <f>Pessimista!J19</f>
        <v>210310.6786</v>
      </c>
      <c r="J6" s="79" t="s">
        <v>70</v>
      </c>
      <c r="K6" s="59">
        <f>Otimista!J19</f>
        <v>4136676.81</v>
      </c>
    </row>
    <row r="7">
      <c r="D7" s="58" t="s">
        <v>71</v>
      </c>
      <c r="E7" s="59">
        <f>Real!J16</f>
        <v>766290.2158</v>
      </c>
      <c r="G7" s="78" t="s">
        <v>71</v>
      </c>
      <c r="H7" s="59">
        <f>Pessimista!J20</f>
        <v>70323.62231</v>
      </c>
      <c r="J7" s="79" t="s">
        <v>71</v>
      </c>
      <c r="K7" s="59">
        <f>Otimista!J20</f>
        <v>1383220.764</v>
      </c>
    </row>
    <row r="8">
      <c r="D8" s="58" t="s">
        <v>72</v>
      </c>
      <c r="E8" s="64">
        <f>Real!J17</f>
        <v>2.038838088</v>
      </c>
      <c r="G8" s="78" t="s">
        <v>72</v>
      </c>
      <c r="H8" s="61">
        <f>Pessimista!J21</f>
        <v>1.095335756</v>
      </c>
      <c r="J8" s="79" t="s">
        <v>72</v>
      </c>
      <c r="K8" s="61">
        <f>Otimista!J21</f>
        <v>2.875193477</v>
      </c>
    </row>
    <row r="9">
      <c r="D9" s="58" t="s">
        <v>73</v>
      </c>
      <c r="E9" s="80">
        <f>Real!J18</f>
        <v>0.1531254243</v>
      </c>
      <c r="G9" s="78" t="s">
        <v>73</v>
      </c>
      <c r="H9" s="80">
        <f>Pessimista!J22</f>
        <v>0.01837904191</v>
      </c>
      <c r="J9" s="79" t="s">
        <v>73</v>
      </c>
      <c r="K9" s="80">
        <f>Otimista!J22</f>
        <v>0.2351889986</v>
      </c>
    </row>
    <row r="10">
      <c r="D10" s="58" t="s">
        <v>74</v>
      </c>
      <c r="E10" s="64">
        <f>Real!J19</f>
        <v>4.046302209</v>
      </c>
      <c r="G10" s="78" t="s">
        <v>74</v>
      </c>
      <c r="H10" s="64">
        <f>Pessimista!J23</f>
        <v>4.880744922</v>
      </c>
      <c r="J10" s="79" t="s">
        <v>74</v>
      </c>
      <c r="K10" s="64">
        <f>Otimista!J23</f>
        <v>3.62595219</v>
      </c>
    </row>
    <row r="11">
      <c r="D11" s="58" t="s">
        <v>76</v>
      </c>
      <c r="E11" s="80">
        <f>Real!J20</f>
        <v>0.375864577</v>
      </c>
      <c r="G11" s="78" t="s">
        <v>76</v>
      </c>
      <c r="H11" s="80">
        <f>Pessimista!J24</f>
        <v>0.2176870275</v>
      </c>
      <c r="J11" s="79" t="s">
        <v>76</v>
      </c>
      <c r="K11" s="80">
        <f>Otimista!J24</f>
        <v>0.4941159513</v>
      </c>
    </row>
    <row r="13">
      <c r="D13" s="81" t="s">
        <v>85</v>
      </c>
    </row>
  </sheetData>
  <mergeCells count="5">
    <mergeCell ref="D1:K3"/>
    <mergeCell ref="D4:E4"/>
    <mergeCell ref="G4:H4"/>
    <mergeCell ref="J4:K4"/>
    <mergeCell ref="D13:K20"/>
  </mergeCells>
  <drawing r:id="rId1"/>
</worksheet>
</file>