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f346b631ee27ff/Documentos/UFSC/"/>
    </mc:Choice>
  </mc:AlternateContent>
  <xr:revisionPtr revIDLastSave="2677" documentId="8_{C33A9725-E736-460B-B481-BD6E937635A9}" xr6:coauthVersionLast="47" xr6:coauthVersionMax="47" xr10:uidLastSave="{0F1D1916-9251-4E88-8C28-D8A89F87A16E}"/>
  <bookViews>
    <workbookView xWindow="-108" yWindow="-108" windowWidth="23256" windowHeight="12456" activeTab="6" xr2:uid="{BCF83BC0-66E5-4169-869F-424576D2E035}"/>
  </bookViews>
  <sheets>
    <sheet name="QuickTrip" sheetId="1" r:id="rId1"/>
    <sheet name="Investimento" sheetId="2" r:id="rId2"/>
    <sheet name="Despesas" sheetId="3" r:id="rId3"/>
    <sheet name="Receitas" sheetId="4" r:id="rId4"/>
    <sheet name="Real" sheetId="5" r:id="rId5"/>
    <sheet name="Pessimista" sheetId="7" r:id="rId6"/>
    <sheet name="Otimista" sheetId="6" r:id="rId7"/>
    <sheet name="CONCLUSÃO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0" i="6"/>
  <c r="I16" i="5"/>
  <c r="G11" i="2"/>
  <c r="H11" i="2"/>
  <c r="C14" i="2"/>
  <c r="J23" i="6"/>
  <c r="M6" i="5"/>
  <c r="G12" i="7"/>
  <c r="G12" i="6"/>
  <c r="G14" i="6" s="1"/>
  <c r="G19" i="6" s="1"/>
  <c r="H12" i="7"/>
  <c r="H12" i="6"/>
  <c r="H14" i="6" s="1"/>
  <c r="G20" i="6" s="1"/>
  <c r="I12" i="7"/>
  <c r="I12" i="6"/>
  <c r="I14" i="6" s="1"/>
  <c r="G21" i="6" s="1"/>
  <c r="N12" i="6" s="1"/>
  <c r="J12" i="7"/>
  <c r="J12" i="6"/>
  <c r="J14" i="6" s="1"/>
  <c r="G22" i="6" s="1"/>
  <c r="N13" i="6" s="1"/>
  <c r="K12" i="7"/>
  <c r="K12" i="6"/>
  <c r="E76" i="4"/>
  <c r="K76" i="4"/>
  <c r="R76" i="4"/>
  <c r="Y76" i="4"/>
  <c r="AF76" i="4"/>
  <c r="AF75" i="4"/>
  <c r="Y75" i="4"/>
  <c r="E57" i="4"/>
  <c r="R75" i="4"/>
  <c r="K75" i="4"/>
  <c r="E75" i="4"/>
  <c r="E71" i="4"/>
  <c r="K13" i="7"/>
  <c r="G19" i="7"/>
  <c r="J13" i="7"/>
  <c r="I13" i="7"/>
  <c r="H13" i="7"/>
  <c r="G13" i="7"/>
  <c r="B2" i="7"/>
  <c r="G18" i="6"/>
  <c r="B2" i="6"/>
  <c r="K14" i="7" l="1"/>
  <c r="G24" i="7" s="1"/>
  <c r="N15" i="7" s="1"/>
  <c r="G14" i="7"/>
  <c r="G20" i="7" s="1"/>
  <c r="N11" i="7" s="1"/>
  <c r="O11" i="7" s="1"/>
  <c r="H14" i="7"/>
  <c r="G21" i="7" s="1"/>
  <c r="N12" i="7" s="1"/>
  <c r="I14" i="7"/>
  <c r="G22" i="7" s="1"/>
  <c r="N13" i="7" s="1"/>
  <c r="J14" i="7"/>
  <c r="G23" i="7" s="1"/>
  <c r="N14" i="7" s="1"/>
  <c r="K14" i="6"/>
  <c r="G23" i="6" s="1"/>
  <c r="N14" i="6" s="1"/>
  <c r="J24" i="7" l="1"/>
  <c r="O12" i="7"/>
  <c r="O13" i="7"/>
  <c r="J18" i="7"/>
  <c r="J21" i="7" s="1"/>
  <c r="J22" i="7" s="1"/>
  <c r="J18" i="6"/>
  <c r="J19" i="6" s="1"/>
  <c r="J17" i="6"/>
  <c r="J20" i="6" s="1"/>
  <c r="J21" i="6" s="1"/>
  <c r="J19" i="7"/>
  <c r="J20" i="7" s="1"/>
  <c r="O14" i="7"/>
  <c r="O10" i="6"/>
  <c r="O11" i="6" s="1"/>
  <c r="O12" i="6" s="1"/>
  <c r="AG28" i="4"/>
  <c r="AG27" i="4"/>
  <c r="AG26" i="4"/>
  <c r="AG25" i="4"/>
  <c r="AG24" i="4"/>
  <c r="Z28" i="4"/>
  <c r="Z27" i="4"/>
  <c r="Z26" i="4"/>
  <c r="Z25" i="4"/>
  <c r="Z24" i="4"/>
  <c r="S28" i="4"/>
  <c r="S27" i="4"/>
  <c r="S26" i="4"/>
  <c r="S25" i="4"/>
  <c r="S24" i="4"/>
  <c r="J50" i="4"/>
  <c r="J51" i="4" s="1"/>
  <c r="L28" i="4"/>
  <c r="L27" i="4"/>
  <c r="L26" i="4"/>
  <c r="L25" i="4"/>
  <c r="L24" i="4"/>
  <c r="H6" i="2"/>
  <c r="F28" i="4"/>
  <c r="F27" i="4"/>
  <c r="F26" i="4"/>
  <c r="F25" i="4"/>
  <c r="F24" i="4"/>
  <c r="X30" i="4"/>
  <c r="X29" i="4" s="1"/>
  <c r="F17" i="5"/>
  <c r="I22" i="5" s="1"/>
  <c r="J11" i="5"/>
  <c r="F22" i="5" s="1"/>
  <c r="M10" i="5" s="1"/>
  <c r="I11" i="5"/>
  <c r="F21" i="5" s="1"/>
  <c r="M9" i="5" s="1"/>
  <c r="H11" i="5"/>
  <c r="F20" i="5" s="1"/>
  <c r="M8" i="5" s="1"/>
  <c r="G11" i="5"/>
  <c r="F19" i="5" s="1"/>
  <c r="M7" i="5" s="1"/>
  <c r="F11" i="5"/>
  <c r="F18" i="5" s="1"/>
  <c r="E1" i="5"/>
  <c r="B2" i="5" s="1"/>
  <c r="AF50" i="4"/>
  <c r="AF51" i="4" s="1"/>
  <c r="AE50" i="4"/>
  <c r="AE51" i="4" s="1"/>
  <c r="AG49" i="4"/>
  <c r="AG48" i="4"/>
  <c r="AG47" i="4"/>
  <c r="AG46" i="4"/>
  <c r="AG45" i="4"/>
  <c r="AF40" i="4"/>
  <c r="AF39" i="4" s="1"/>
  <c r="AG38" i="4"/>
  <c r="AG37" i="4"/>
  <c r="Y50" i="4"/>
  <c r="Y51" i="4" s="1"/>
  <c r="X50" i="4"/>
  <c r="X51" i="4" s="1"/>
  <c r="Z49" i="4"/>
  <c r="Z48" i="4"/>
  <c r="Z47" i="4"/>
  <c r="Z46" i="4"/>
  <c r="Z45" i="4"/>
  <c r="Y40" i="4"/>
  <c r="Y39" i="4" s="1"/>
  <c r="Z38" i="4"/>
  <c r="Z37" i="4"/>
  <c r="R50" i="4"/>
  <c r="R51" i="4" s="1"/>
  <c r="Q50" i="4"/>
  <c r="Q51" i="4" s="1"/>
  <c r="S49" i="4"/>
  <c r="S48" i="4"/>
  <c r="S47" i="4"/>
  <c r="S46" i="4"/>
  <c r="S45" i="4"/>
  <c r="R40" i="4"/>
  <c r="R39" i="4" s="1"/>
  <c r="S38" i="4"/>
  <c r="S37" i="4"/>
  <c r="K40" i="4"/>
  <c r="K39" i="4" s="1"/>
  <c r="D39" i="4"/>
  <c r="L38" i="4"/>
  <c r="L37" i="4"/>
  <c r="L40" i="4" s="1"/>
  <c r="L39" i="4" s="1"/>
  <c r="K50" i="4"/>
  <c r="K51" i="4" s="1"/>
  <c r="L49" i="4"/>
  <c r="L48" i="4"/>
  <c r="L47" i="4"/>
  <c r="L46" i="4"/>
  <c r="L45" i="4"/>
  <c r="E83" i="4"/>
  <c r="B84" i="4" s="1"/>
  <c r="B67" i="3"/>
  <c r="E17" i="4"/>
  <c r="D50" i="4"/>
  <c r="D51" i="4" s="1"/>
  <c r="F49" i="4"/>
  <c r="F48" i="4"/>
  <c r="F47" i="4"/>
  <c r="F46" i="4"/>
  <c r="F45" i="4"/>
  <c r="E38" i="4"/>
  <c r="E37" i="4"/>
  <c r="AG17" i="4"/>
  <c r="Z17" i="4"/>
  <c r="S17" i="4"/>
  <c r="L17" i="4"/>
  <c r="AF30" i="4"/>
  <c r="AF29" i="4" s="1"/>
  <c r="AE30" i="4"/>
  <c r="AE29" i="4" s="1"/>
  <c r="AE18" i="4"/>
  <c r="Y30" i="4"/>
  <c r="Y29" i="4" s="1"/>
  <c r="X18" i="4"/>
  <c r="R30" i="4"/>
  <c r="R29" i="4" s="1"/>
  <c r="Q30" i="4"/>
  <c r="Q29" i="4" s="1"/>
  <c r="Q18" i="4"/>
  <c r="K30" i="4"/>
  <c r="K29" i="4" s="1"/>
  <c r="J30" i="4"/>
  <c r="J29" i="4" s="1"/>
  <c r="J18" i="4"/>
  <c r="E50" i="4"/>
  <c r="E51" i="4" s="1"/>
  <c r="E30" i="4"/>
  <c r="E29" i="4" s="1"/>
  <c r="D30" i="4"/>
  <c r="D29" i="4" s="1"/>
  <c r="AH41" i="3"/>
  <c r="AF41" i="3"/>
  <c r="AH25" i="3"/>
  <c r="AH23" i="3"/>
  <c r="AH22" i="3"/>
  <c r="AA41" i="3"/>
  <c r="Y41" i="3"/>
  <c r="AA23" i="3"/>
  <c r="AA22" i="3"/>
  <c r="AA25" i="3" s="1"/>
  <c r="L47" i="3"/>
  <c r="T23" i="3"/>
  <c r="T22" i="3"/>
  <c r="T25" i="3" s="1"/>
  <c r="L46" i="3"/>
  <c r="M22" i="3"/>
  <c r="M25" i="3" s="1"/>
  <c r="M23" i="3"/>
  <c r="F13" i="3"/>
  <c r="E66" i="3"/>
  <c r="T41" i="3"/>
  <c r="S46" i="3" s="1"/>
  <c r="S47" i="3" s="1"/>
  <c r="R41" i="3"/>
  <c r="M41" i="3"/>
  <c r="K41" i="3"/>
  <c r="F41" i="3"/>
  <c r="D41" i="3"/>
  <c r="F25" i="3"/>
  <c r="G23" i="2"/>
  <c r="L9" i="2"/>
  <c r="G24" i="2" s="1"/>
  <c r="D14" i="2"/>
  <c r="I17" i="5" l="1"/>
  <c r="I18" i="5" s="1"/>
  <c r="I19" i="5"/>
  <c r="I20" i="5" s="1"/>
  <c r="N6" i="5"/>
  <c r="N7" i="5" s="1"/>
  <c r="N8" i="5" s="1"/>
  <c r="O15" i="7"/>
  <c r="N19" i="7" s="1"/>
  <c r="N18" i="7"/>
  <c r="O13" i="6"/>
  <c r="N17" i="6" s="1"/>
  <c r="AG40" i="4"/>
  <c r="AG39" i="4" s="1"/>
  <c r="S30" i="4"/>
  <c r="S29" i="4" s="1"/>
  <c r="G26" i="2"/>
  <c r="AG51" i="4"/>
  <c r="AG50" i="4" s="1"/>
  <c r="Z40" i="4"/>
  <c r="Z39" i="4" s="1"/>
  <c r="Z51" i="4"/>
  <c r="Z50" i="4" s="1"/>
  <c r="S51" i="4"/>
  <c r="S50" i="4" s="1"/>
  <c r="S40" i="4"/>
  <c r="S39" i="4" s="1"/>
  <c r="L51" i="4"/>
  <c r="L50" i="4" s="1"/>
  <c r="F51" i="4"/>
  <c r="F50" i="4" s="1"/>
  <c r="E40" i="4"/>
  <c r="E39" i="4" s="1"/>
  <c r="Z18" i="4"/>
  <c r="Z19" i="4" s="1"/>
  <c r="S18" i="4"/>
  <c r="S19" i="4" s="1"/>
  <c r="AG18" i="4"/>
  <c r="AG19" i="4" s="1"/>
  <c r="L18" i="4"/>
  <c r="L19" i="4" s="1"/>
  <c r="L30" i="4"/>
  <c r="L29" i="4" s="1"/>
  <c r="AG30" i="4"/>
  <c r="AG29" i="4" s="1"/>
  <c r="Z30" i="4"/>
  <c r="Z29" i="4" s="1"/>
  <c r="F30" i="4"/>
  <c r="F29" i="4" s="1"/>
  <c r="E18" i="4"/>
  <c r="E19" i="4" s="1"/>
  <c r="AG46" i="3"/>
  <c r="AG47" i="3" s="1"/>
  <c r="Z46" i="3"/>
  <c r="Z47" i="3" s="1"/>
  <c r="E46" i="3"/>
  <c r="E47" i="3" s="1"/>
  <c r="N20" i="7" l="1"/>
  <c r="J23" i="7" s="1"/>
  <c r="O14" i="6"/>
  <c r="N18" i="6" s="1"/>
  <c r="N19" i="6" s="1"/>
  <c r="J22" i="6" s="1"/>
  <c r="N9" i="5"/>
  <c r="M12" i="5" s="1"/>
  <c r="K71" i="4"/>
  <c r="K56" i="4" s="1"/>
  <c r="E56" i="4"/>
  <c r="Y71" i="4"/>
  <c r="Y56" i="4" s="1"/>
  <c r="AF71" i="4"/>
  <c r="AF56" i="4" s="1"/>
  <c r="AF57" i="4" s="1"/>
  <c r="AF58" i="4" s="1"/>
  <c r="AF59" i="4" s="1"/>
  <c r="AF60" i="4" s="1"/>
  <c r="AF61" i="4" s="1"/>
  <c r="AF62" i="4" s="1"/>
  <c r="AF63" i="4" s="1"/>
  <c r="AF64" i="4" s="1"/>
  <c r="AF65" i="4" s="1"/>
  <c r="AF66" i="4" s="1"/>
  <c r="AF67" i="4" s="1"/>
  <c r="R71" i="4"/>
  <c r="R56" i="4" s="1"/>
  <c r="R57" i="4" s="1"/>
  <c r="N10" i="5" l="1"/>
  <c r="M13" i="5" s="1"/>
  <c r="M14" i="5" s="1"/>
  <c r="I21" i="5" s="1"/>
  <c r="K57" i="4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Y57" i="4"/>
  <c r="Y58" i="4" s="1"/>
  <c r="Y59" i="4" s="1"/>
  <c r="Y60" i="4" s="1"/>
  <c r="Y61" i="4" s="1"/>
  <c r="Y62" i="4" s="1"/>
  <c r="Y63" i="4" s="1"/>
  <c r="Y64" i="4" s="1"/>
  <c r="Y65" i="4" s="1"/>
  <c r="Y66" i="4" s="1"/>
  <c r="Y67" i="4" s="1"/>
  <c r="R58" i="4"/>
  <c r="R59" i="4" s="1"/>
  <c r="R60" i="4" s="1"/>
  <c r="R61" i="4" s="1"/>
  <c r="R62" i="4" s="1"/>
  <c r="R63" i="4" s="1"/>
  <c r="R64" i="4" s="1"/>
  <c r="R65" i="4" s="1"/>
  <c r="R66" i="4" s="1"/>
  <c r="R67" i="4" s="1"/>
  <c r="E58" i="4" l="1"/>
  <c r="E59" i="4" s="1"/>
  <c r="E60" i="4" s="1"/>
  <c r="E61" i="4" l="1"/>
  <c r="E62" i="4" l="1"/>
  <c r="E63" i="4" s="1"/>
  <c r="E64" i="4" s="1"/>
  <c r="E65" i="4" s="1"/>
  <c r="E66" i="4" s="1"/>
  <c r="E67" i="4" s="1"/>
</calcChain>
</file>

<file path=xl/sharedStrings.xml><?xml version="1.0" encoding="utf-8"?>
<sst xmlns="http://schemas.openxmlformats.org/spreadsheetml/2006/main" count="672" uniqueCount="140">
  <si>
    <t>Capital de Giro</t>
  </si>
  <si>
    <t>Controle de Investimentos</t>
  </si>
  <si>
    <t>Despesas Fixas</t>
  </si>
  <si>
    <t>Descrição</t>
  </si>
  <si>
    <t>Quantidade</t>
  </si>
  <si>
    <t>Valor</t>
  </si>
  <si>
    <t>Contrato Social</t>
  </si>
  <si>
    <t>Registro na Junta Comercial</t>
  </si>
  <si>
    <t>CNPJ</t>
  </si>
  <si>
    <t>E-CNPJ</t>
  </si>
  <si>
    <t>Alvará de Funcionamento</t>
  </si>
  <si>
    <t>INPI</t>
  </si>
  <si>
    <t>Certficado Digital/Inscrição Estadual</t>
  </si>
  <si>
    <t>Total</t>
  </si>
  <si>
    <t>Computadores</t>
  </si>
  <si>
    <t>Website e Hospedagem</t>
  </si>
  <si>
    <t>Aplicações</t>
  </si>
  <si>
    <t>Servidor AWS</t>
  </si>
  <si>
    <t>Reserva</t>
  </si>
  <si>
    <t>Beneficio</t>
  </si>
  <si>
    <t>TOTAL</t>
  </si>
  <si>
    <t>Pré-Operacional</t>
  </si>
  <si>
    <t>Fixo</t>
  </si>
  <si>
    <t>Investimento Fixo</t>
  </si>
  <si>
    <t>Investimentos Pré-Operacionais</t>
  </si>
  <si>
    <t>Internet</t>
  </si>
  <si>
    <t>Google Ads</t>
  </si>
  <si>
    <t>Marketing</t>
  </si>
  <si>
    <t>Software</t>
  </si>
  <si>
    <t>Despesas Variáveis</t>
  </si>
  <si>
    <t>Hospedagem Site</t>
  </si>
  <si>
    <t>Hospedagem App</t>
  </si>
  <si>
    <t>AWS</t>
  </si>
  <si>
    <t>Colaboradores</t>
  </si>
  <si>
    <t>CEO</t>
  </si>
  <si>
    <t>Gerente Geral</t>
  </si>
  <si>
    <t>RH</t>
  </si>
  <si>
    <t>UX Designer</t>
  </si>
  <si>
    <t>Programador 1</t>
  </si>
  <si>
    <t>Programador 2</t>
  </si>
  <si>
    <t>Programador 3</t>
  </si>
  <si>
    <t>Programador 4</t>
  </si>
  <si>
    <t>Benefícios</t>
  </si>
  <si>
    <t>Salário</t>
  </si>
  <si>
    <t>Base Mensal</t>
  </si>
  <si>
    <t>TMA</t>
  </si>
  <si>
    <t>aa</t>
  </si>
  <si>
    <t>Taxa Mensal</t>
  </si>
  <si>
    <t>am</t>
  </si>
  <si>
    <t>Receitas</t>
  </si>
  <si>
    <t>Taxa de Serviço</t>
  </si>
  <si>
    <t>Anúncios Internos</t>
  </si>
  <si>
    <t>Comissão Empresas</t>
  </si>
  <si>
    <t>Plano Premium</t>
  </si>
  <si>
    <t>Descontos</t>
  </si>
  <si>
    <t>Mensal - Empresas</t>
  </si>
  <si>
    <t>Qtd</t>
  </si>
  <si>
    <t>Anual - Empresas</t>
  </si>
  <si>
    <t xml:space="preserve">Total Ano </t>
  </si>
  <si>
    <t>Empresa</t>
  </si>
  <si>
    <t>Transporte</t>
  </si>
  <si>
    <t>Qtd Vendas Ano</t>
  </si>
  <si>
    <t>Valor Acordado</t>
  </si>
  <si>
    <t>Valor Final</t>
  </si>
  <si>
    <t>Passagens</t>
  </si>
  <si>
    <t>Hospedagens</t>
  </si>
  <si>
    <t>Passeios</t>
  </si>
  <si>
    <t>Gastronomia</t>
  </si>
  <si>
    <t>Total Ano</t>
  </si>
  <si>
    <t xml:space="preserve">Plano Sem Anúncios </t>
  </si>
  <si>
    <t>Plano Sem Anúncios + Ofertas Exclusivas</t>
  </si>
  <si>
    <t>5% em Transporte</t>
  </si>
  <si>
    <t xml:space="preserve">12% em Passagens </t>
  </si>
  <si>
    <t>8% em Hospedagens</t>
  </si>
  <si>
    <t>5% em Passeios</t>
  </si>
  <si>
    <t>7% em Gastronomia</t>
  </si>
  <si>
    <t>Descontos com Empresas Parceiras</t>
  </si>
  <si>
    <t>7% em Transporte</t>
  </si>
  <si>
    <t xml:space="preserve">15% em Passagens </t>
  </si>
  <si>
    <t>10% em Hospedagens</t>
  </si>
  <si>
    <t>7% em Passeios</t>
  </si>
  <si>
    <t>10% em Gastronomia</t>
  </si>
  <si>
    <t>9% em Transporte</t>
  </si>
  <si>
    <t>8% em Passeios</t>
  </si>
  <si>
    <t>10% em Transporte</t>
  </si>
  <si>
    <t xml:space="preserve">17% em Passagens </t>
  </si>
  <si>
    <t>12% em Hospedagens</t>
  </si>
  <si>
    <t>10% em Passeios</t>
  </si>
  <si>
    <t>12% em Gastronomia</t>
  </si>
  <si>
    <t>Usuários</t>
  </si>
  <si>
    <t>Total Plano 1</t>
  </si>
  <si>
    <t>Total Plano 2</t>
  </si>
  <si>
    <t>Total Mensal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</si>
  <si>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</si>
  <si>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</si>
  <si>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</si>
  <si>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</si>
  <si>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</si>
  <si>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</si>
  <si>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</si>
  <si>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</si>
  <si>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</si>
  <si>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</si>
  <si>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</si>
  <si>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</si>
  <si>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 Total</t>
  </si>
  <si>
    <t>Total Mês</t>
  </si>
  <si>
    <t>Total Mês Base</t>
  </si>
  <si>
    <t>Total Receitas - Ano</t>
  </si>
  <si>
    <t>VPL</t>
  </si>
  <si>
    <t>TAXA MENSAL</t>
  </si>
  <si>
    <t>INVESTIMENTO INICIAL</t>
  </si>
  <si>
    <t>Receita</t>
  </si>
  <si>
    <t>Despesa</t>
  </si>
  <si>
    <t>Liquido</t>
  </si>
  <si>
    <t>PRIMEIRO ANO</t>
  </si>
  <si>
    <t>SEGUNDO ANO</t>
  </si>
  <si>
    <t>TERCEIRO ANO</t>
  </si>
  <si>
    <t>QUARTO ANO</t>
  </si>
  <si>
    <t>QUINTO ANO</t>
  </si>
  <si>
    <t>ANOS</t>
  </si>
  <si>
    <t>VALORES</t>
  </si>
  <si>
    <t>VP Ben.</t>
  </si>
  <si>
    <t>VPLA</t>
  </si>
  <si>
    <t>IBC</t>
  </si>
  <si>
    <t>ROIA</t>
  </si>
  <si>
    <t>PAYBACK</t>
  </si>
  <si>
    <t>TIR</t>
  </si>
  <si>
    <t>VP RECUPERADO</t>
  </si>
  <si>
    <t>VP ACUMULADO</t>
  </si>
  <si>
    <t>TAXA (TMA)</t>
  </si>
  <si>
    <t>TAXA ACRÉSCIMO</t>
  </si>
  <si>
    <t>Taxa Decréscimo Receita</t>
  </si>
  <si>
    <t>Taxa Acréscimo Despesa</t>
  </si>
  <si>
    <t>VALOR RECUPERADO</t>
  </si>
  <si>
    <t>VALOR ACUMULADO</t>
  </si>
  <si>
    <t>Caso Real</t>
  </si>
  <si>
    <t>Caso Otimista</t>
  </si>
  <si>
    <t>Caso Pessimista</t>
  </si>
  <si>
    <t>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</si>
</sst>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&quot;R$&quot;\ #,##0.00"/>
    <numFmt numFmtId="165" formatCode="0.000"/>
    <numFmt numFmtId="166" formatCode="0.0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4" tint="0.3999755851924192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0D1F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FFDDD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CF"/>
        <bgColor indexed="64"/>
      </patternFill>
    </fill>
    <fill>
      <patternFill patternType="solid">
        <fgColor rgb="FFFFFBC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3" borderId="1" xfId="0" applyNumberFormat="1" applyFill="1" applyBorder="1"/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/>
    <xf numFmtId="0" fontId="6" fillId="3" borderId="2" xfId="0" applyFont="1" applyFill="1" applyBorder="1"/>
    <xf numFmtId="0" fontId="9" fillId="0" borderId="0" xfId="0" applyFont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0" fontId="0" fillId="7" borderId="1" xfId="0" applyFill="1" applyBorder="1"/>
    <xf numFmtId="165" fontId="0" fillId="0" borderId="0" xfId="0" applyNumberFormat="1"/>
    <xf numFmtId="10" fontId="0" fillId="7" borderId="1" xfId="0" applyNumberFormat="1" applyFill="1" applyBorder="1"/>
    <xf numFmtId="0" fontId="0" fillId="10" borderId="1" xfId="0" applyFill="1" applyBorder="1" applyAlignment="1">
      <alignment horizontal="center"/>
    </xf>
    <xf numFmtId="164" fontId="0" fillId="11" borderId="1" xfId="0" applyNumberFormat="1" applyFill="1" applyBorder="1"/>
    <xf numFmtId="0" fontId="0" fillId="11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10" borderId="1" xfId="0" applyFill="1" applyBorder="1"/>
    <xf numFmtId="0" fontId="0" fillId="11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" fontId="0" fillId="12" borderId="4" xfId="0" applyNumberFormat="1" applyFill="1" applyBorder="1" applyAlignment="1">
      <alignment horizontal="center"/>
    </xf>
    <xf numFmtId="164" fontId="0" fillId="12" borderId="1" xfId="0" applyNumberFormat="1" applyFill="1" applyBorder="1"/>
    <xf numFmtId="0" fontId="0" fillId="12" borderId="1" xfId="0" applyFill="1" applyBorder="1" applyAlignment="1">
      <alignment horizontal="center"/>
    </xf>
    <xf numFmtId="0" fontId="0" fillId="11" borderId="4" xfId="0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11" borderId="2" xfId="0" applyNumberFormat="1" applyFill="1" applyBorder="1"/>
    <xf numFmtId="164" fontId="0" fillId="11" borderId="4" xfId="0" applyNumberFormat="1" applyFill="1" applyBorder="1"/>
    <xf numFmtId="164" fontId="0" fillId="12" borderId="4" xfId="0" applyNumberFormat="1" applyFill="1" applyBorder="1"/>
    <xf numFmtId="16" fontId="0" fillId="0" borderId="0" xfId="0" applyNumberFormat="1"/>
    <xf numFmtId="1" fontId="0" fillId="12" borderId="1" xfId="0" applyNumberFormat="1" applyFill="1" applyBorder="1" applyAlignment="1">
      <alignment horizontal="center"/>
    </xf>
    <xf numFmtId="164" fontId="0" fillId="0" borderId="0" xfId="0" applyNumberFormat="1"/>
    <xf numFmtId="166" fontId="0" fillId="12" borderId="1" xfId="0" applyNumberFormat="1" applyFill="1" applyBorder="1" applyAlignment="1">
      <alignment horizontal="center"/>
    </xf>
    <xf numFmtId="0" fontId="0" fillId="13" borderId="1" xfId="0" applyFill="1" applyBorder="1"/>
    <xf numFmtId="9" fontId="0" fillId="13" borderId="1" xfId="0" applyNumberFormat="1" applyFill="1" applyBorder="1"/>
    <xf numFmtId="0" fontId="0" fillId="14" borderId="1" xfId="0" applyFill="1" applyBorder="1"/>
    <xf numFmtId="10" fontId="0" fillId="14" borderId="1" xfId="0" applyNumberFormat="1" applyFill="1" applyBorder="1"/>
    <xf numFmtId="164" fontId="6" fillId="15" borderId="1" xfId="0" applyNumberFormat="1" applyFont="1" applyFill="1" applyBorder="1"/>
    <xf numFmtId="0" fontId="0" fillId="15" borderId="1" xfId="0" applyFill="1" applyBorder="1"/>
    <xf numFmtId="0" fontId="0" fillId="12" borderId="1" xfId="0" applyFill="1" applyBorder="1"/>
    <xf numFmtId="0" fontId="0" fillId="8" borderId="1" xfId="0" applyFill="1" applyBorder="1"/>
    <xf numFmtId="0" fontId="0" fillId="16" borderId="1" xfId="0" applyFill="1" applyBorder="1"/>
    <xf numFmtId="164" fontId="0" fillId="13" borderId="1" xfId="0" applyNumberFormat="1" applyFill="1" applyBorder="1"/>
    <xf numFmtId="164" fontId="0" fillId="16" borderId="1" xfId="0" applyNumberFormat="1" applyFill="1" applyBorder="1"/>
    <xf numFmtId="0" fontId="0" fillId="17" borderId="1" xfId="0" applyFill="1" applyBorder="1" applyAlignment="1">
      <alignment horizontal="center"/>
    </xf>
    <xf numFmtId="164" fontId="0" fillId="17" borderId="1" xfId="0" applyNumberFormat="1" applyFill="1" applyBorder="1" applyAlignment="1">
      <alignment horizontal="center"/>
    </xf>
    <xf numFmtId="0" fontId="0" fillId="18" borderId="1" xfId="0" applyFill="1" applyBorder="1"/>
    <xf numFmtId="0" fontId="0" fillId="18" borderId="9" xfId="0" applyFill="1" applyBorder="1" applyAlignment="1">
      <alignment horizontal="center"/>
    </xf>
    <xf numFmtId="8" fontId="0" fillId="18" borderId="1" xfId="0" applyNumberFormat="1" applyFill="1" applyBorder="1"/>
    <xf numFmtId="164" fontId="0" fillId="18" borderId="1" xfId="0" applyNumberFormat="1" applyFill="1" applyBorder="1"/>
    <xf numFmtId="167" fontId="0" fillId="18" borderId="1" xfId="0" applyNumberFormat="1" applyFill="1" applyBorder="1"/>
    <xf numFmtId="9" fontId="0" fillId="18" borderId="1" xfId="0" applyNumberFormat="1" applyFill="1" applyBorder="1"/>
    <xf numFmtId="10" fontId="0" fillId="18" borderId="1" xfId="0" applyNumberFormat="1" applyFill="1" applyBorder="1"/>
    <xf numFmtId="164" fontId="0" fillId="19" borderId="1" xfId="0" applyNumberFormat="1" applyFill="1" applyBorder="1"/>
    <xf numFmtId="164" fontId="0" fillId="17" borderId="1" xfId="0" applyNumberFormat="1" applyFill="1" applyBorder="1"/>
    <xf numFmtId="2" fontId="0" fillId="18" borderId="1" xfId="0" applyNumberFormat="1" applyFill="1" applyBorder="1"/>
    <xf numFmtId="9" fontId="0" fillId="7" borderId="1" xfId="0" applyNumberFormat="1" applyFill="1" applyBorder="1"/>
    <xf numFmtId="164" fontId="0" fillId="20" borderId="1" xfId="0" applyNumberFormat="1" applyFill="1" applyBorder="1"/>
    <xf numFmtId="164" fontId="0" fillId="14" borderId="1" xfId="0" applyNumberFormat="1" applyFill="1" applyBorder="1"/>
    <xf numFmtId="0" fontId="0" fillId="14" borderId="1" xfId="0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8" fontId="0" fillId="14" borderId="1" xfId="0" applyNumberFormat="1" applyFill="1" applyBorder="1"/>
    <xf numFmtId="167" fontId="0" fillId="14" borderId="1" xfId="0" applyNumberFormat="1" applyFill="1" applyBorder="1"/>
    <xf numFmtId="2" fontId="0" fillId="14" borderId="1" xfId="0" applyNumberFormat="1" applyFill="1" applyBorder="1"/>
    <xf numFmtId="9" fontId="0" fillId="14" borderId="1" xfId="0" applyNumberFormat="1" applyFill="1" applyBorder="1"/>
    <xf numFmtId="0" fontId="0" fillId="21" borderId="1" xfId="0" applyFill="1" applyBorder="1"/>
    <xf numFmtId="164" fontId="0" fillId="21" borderId="1" xfId="0" applyNumberFormat="1" applyFill="1" applyBorder="1"/>
    <xf numFmtId="0" fontId="0" fillId="21" borderId="1" xfId="0" applyFill="1" applyBorder="1" applyAlignment="1">
      <alignment horizontal="center"/>
    </xf>
    <xf numFmtId="164" fontId="0" fillId="21" borderId="1" xfId="0" applyNumberFormat="1" applyFill="1" applyBorder="1" applyAlignment="1">
      <alignment horizontal="center"/>
    </xf>
    <xf numFmtId="0" fontId="0" fillId="21" borderId="9" xfId="0" applyFill="1" applyBorder="1" applyAlignment="1">
      <alignment horizontal="center"/>
    </xf>
    <xf numFmtId="8" fontId="0" fillId="21" borderId="1" xfId="0" applyNumberFormat="1" applyFill="1" applyBorder="1"/>
    <xf numFmtId="167" fontId="0" fillId="21" borderId="1" xfId="0" applyNumberFormat="1" applyFill="1" applyBorder="1"/>
    <xf numFmtId="10" fontId="0" fillId="21" borderId="1" xfId="0" applyNumberFormat="1" applyFill="1" applyBorder="1"/>
    <xf numFmtId="2" fontId="0" fillId="21" borderId="1" xfId="0" applyNumberFormat="1" applyFill="1" applyBorder="1"/>
    <xf numFmtId="9" fontId="0" fillId="21" borderId="1" xfId="0" applyNumberFormat="1" applyFill="1" applyBorder="1"/>
    <xf numFmtId="164" fontId="0" fillId="22" borderId="1" xfId="0" applyNumberFormat="1" applyFill="1" applyBorder="1"/>
    <xf numFmtId="0" fontId="0" fillId="4" borderId="0" xfId="0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8" fontId="0" fillId="12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164" fontId="0" fillId="12" borderId="2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64" fontId="0" fillId="12" borderId="4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64" fontId="0" fillId="11" borderId="2" xfId="0" applyNumberFormat="1" applyFill="1" applyBorder="1" applyAlignment="1">
      <alignment horizontal="center"/>
    </xf>
    <xf numFmtId="164" fontId="0" fillId="11" borderId="4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17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CCECFF"/>
      <color rgb="FFFCFDCF"/>
      <color rgb="FF0E8CBE"/>
      <color rgb="FF6D6DCD"/>
      <color rgb="FF0E7BF2"/>
      <color rgb="FF66FFFF"/>
      <color rgb="FFFFFBC5"/>
      <color rgb="FFCCCCFF"/>
      <color rgb="FFDFF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</xdr:row>
      <xdr:rowOff>83820</xdr:rowOff>
    </xdr:from>
    <xdr:to>
      <xdr:col>18</xdr:col>
      <xdr:colOff>0</xdr:colOff>
      <xdr:row>9</xdr:row>
      <xdr:rowOff>99060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569730E0-6043-BF95-5E4F-41358E30D1B9}"/>
            </a:ext>
          </a:extLst>
        </xdr:cNvPr>
        <xdr:cNvSpPr txBox="1"/>
      </xdr:nvSpPr>
      <xdr:spPr>
        <a:xfrm>
          <a:off x="2453640" y="632460"/>
          <a:ext cx="8519160" cy="1112520"/>
        </a:xfrm>
        <a:prstGeom prst="rect">
          <a:avLst/>
        </a:prstGeom>
        <a:solidFill>
          <a:srgbClr val="0E8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5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Caso Prático - QuickTrip</a:t>
          </a:r>
        </a:p>
      </xdr:txBody>
    </xdr:sp>
    <xdr:clientData/>
  </xdr:twoCellAnchor>
  <xdr:twoCellAnchor>
    <xdr:from>
      <xdr:col>4</xdr:col>
      <xdr:colOff>60960</xdr:colOff>
      <xdr:row>11</xdr:row>
      <xdr:rowOff>15240</xdr:rowOff>
    </xdr:from>
    <xdr:to>
      <xdr:col>17</xdr:col>
      <xdr:colOff>548640</xdr:colOff>
      <xdr:row>15</xdr:row>
      <xdr:rowOff>45720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7D733D8-260D-CAE3-9F52-99E5CB949E57}"/>
            </a:ext>
          </a:extLst>
        </xdr:cNvPr>
        <xdr:cNvSpPr txBox="1"/>
      </xdr:nvSpPr>
      <xdr:spPr>
        <a:xfrm>
          <a:off x="2499360" y="2026920"/>
          <a:ext cx="8412480" cy="762000"/>
        </a:xfrm>
        <a:prstGeom prst="rect">
          <a:avLst/>
        </a:prstGeom>
        <a:solidFill>
          <a:srgbClr val="0E8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Guilherme Oliveira</a:t>
          </a:r>
          <a:r>
            <a:rPr lang="pt-BR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Sá Cabrera (21203121)</a:t>
          </a:r>
        </a:p>
        <a:p>
          <a:pPr algn="ctr"/>
          <a:r>
            <a:rPr lang="pt-BR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Safyre Ayumy Farao (21200551)</a:t>
          </a:r>
          <a:endParaRPr lang="pt-BR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15</xdr:row>
      <xdr:rowOff>22860</xdr:rowOff>
    </xdr:from>
    <xdr:to>
      <xdr:col>2</xdr:col>
      <xdr:colOff>853440</xdr:colOff>
      <xdr:row>20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579DEA45-CDF6-7B94-220C-5DEB7F3065FC}"/>
            </a:ext>
          </a:extLst>
        </xdr:cNvPr>
        <xdr:cNvSpPr txBox="1"/>
      </xdr:nvSpPr>
      <xdr:spPr>
        <a:xfrm>
          <a:off x="624840" y="2857500"/>
          <a:ext cx="2971800" cy="1013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/>
            <a:t>O Investimento Pré-Operacional está relacionado com toda a parte de documentação, aprovação e licenciamento de álvaras</a:t>
          </a:r>
          <a:r>
            <a:rPr lang="pt-BR" sz="1100" baseline="0"/>
            <a:t>, certificados e registros (como CNPJ), são investimentos/gastos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mprescindíveis</a:t>
          </a:r>
          <a:r>
            <a:rPr lang="pt-BR" sz="1100" baseline="0"/>
            <a:t>.</a:t>
          </a:r>
          <a:endParaRPr lang="pt-BR" sz="1100"/>
        </a:p>
      </xdr:txBody>
    </xdr:sp>
    <xdr:clientData/>
  </xdr:twoCellAnchor>
  <xdr:twoCellAnchor>
    <xdr:from>
      <xdr:col>5</xdr:col>
      <xdr:colOff>7620</xdr:colOff>
      <xdr:row>11</xdr:row>
      <xdr:rowOff>106680</xdr:rowOff>
    </xdr:from>
    <xdr:to>
      <xdr:col>7</xdr:col>
      <xdr:colOff>373380</xdr:colOff>
      <xdr:row>16</xdr:row>
      <xdr:rowOff>15240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F130E141-DDE0-144C-85E7-9256DE920B06}"/>
            </a:ext>
          </a:extLst>
        </xdr:cNvPr>
        <xdr:cNvSpPr txBox="1"/>
      </xdr:nvSpPr>
      <xdr:spPr>
        <a:xfrm>
          <a:off x="5341620" y="2209800"/>
          <a:ext cx="2735580" cy="822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 Investimento</a:t>
          </a:r>
          <a:r>
            <a:rPr lang="pt-BR" sz="1100" baseline="0"/>
            <a:t> Fixo é toda a parte necessária para desenvolver o aplicativo em si, por isso, conta, essencialmente, com os artefatos tecnólogicos para tal.</a:t>
          </a:r>
          <a:endParaRPr lang="pt-BR" sz="1100"/>
        </a:p>
      </xdr:txBody>
    </xdr:sp>
    <xdr:clientData/>
  </xdr:twoCellAnchor>
  <xdr:twoCellAnchor>
    <xdr:from>
      <xdr:col>9</xdr:col>
      <xdr:colOff>15240</xdr:colOff>
      <xdr:row>10</xdr:row>
      <xdr:rowOff>0</xdr:rowOff>
    </xdr:from>
    <xdr:to>
      <xdr:col>12</xdr:col>
      <xdr:colOff>53340</xdr:colOff>
      <xdr:row>16</xdr:row>
      <xdr:rowOff>76200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270B53B-CEB1-FC54-677E-C97DB815FBDE}"/>
            </a:ext>
          </a:extLst>
        </xdr:cNvPr>
        <xdr:cNvSpPr txBox="1"/>
      </xdr:nvSpPr>
      <xdr:spPr>
        <a:xfrm>
          <a:off x="9227820" y="1920240"/>
          <a:ext cx="2362200" cy="1173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Capital de Giro é o valor de reserva que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funciona como uma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garantia financeira da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mpresa e o beneficio é o valor de garantia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a possibilidade de contratação de novos colaboradores.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68580</xdr:rowOff>
    </xdr:from>
    <xdr:to>
      <xdr:col>6</xdr:col>
      <xdr:colOff>594360</xdr:colOff>
      <xdr:row>5</xdr:row>
      <xdr:rowOff>22860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D0718EE-3CCC-7614-2FFA-83B72E7C1182}"/>
            </a:ext>
          </a:extLst>
        </xdr:cNvPr>
        <xdr:cNvSpPr txBox="1"/>
      </xdr:nvSpPr>
      <xdr:spPr>
        <a:xfrm>
          <a:off x="777240" y="434340"/>
          <a:ext cx="3634740" cy="5029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latin typeface="Arial" panose="020B0604020202020204" pitchFamily="34" charset="0"/>
              <a:cs typeface="Arial" panose="020B0604020202020204" pitchFamily="34" charset="0"/>
            </a:rPr>
            <a:t>Primeiro</a:t>
          </a:r>
          <a:r>
            <a:rPr lang="pt-BR" sz="1600" baseline="0">
              <a:latin typeface="Arial" panose="020B0604020202020204" pitchFamily="34" charset="0"/>
              <a:cs typeface="Arial" panose="020B0604020202020204" pitchFamily="34" charset="0"/>
            </a:rPr>
            <a:t> Ano</a:t>
          </a:r>
          <a:endParaRPr lang="pt-B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2</xdr:row>
      <xdr:rowOff>68580</xdr:rowOff>
    </xdr:from>
    <xdr:to>
      <xdr:col>13</xdr:col>
      <xdr:colOff>601980</xdr:colOff>
      <xdr:row>5</xdr:row>
      <xdr:rowOff>22860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352C394-5371-4FF1-A21E-84FC8EC72B5A}"/>
            </a:ext>
          </a:extLst>
        </xdr:cNvPr>
        <xdr:cNvSpPr txBox="1"/>
      </xdr:nvSpPr>
      <xdr:spPr>
        <a:xfrm>
          <a:off x="4876800" y="434340"/>
          <a:ext cx="3649980" cy="5029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latin typeface="Arial" panose="020B0604020202020204" pitchFamily="34" charset="0"/>
              <a:cs typeface="Arial" panose="020B0604020202020204" pitchFamily="34" charset="0"/>
            </a:rPr>
            <a:t>Segundo</a:t>
          </a:r>
          <a:r>
            <a:rPr lang="pt-BR" sz="1600" baseline="0">
              <a:latin typeface="Arial" panose="020B0604020202020204" pitchFamily="34" charset="0"/>
              <a:cs typeface="Arial" panose="020B0604020202020204" pitchFamily="34" charset="0"/>
            </a:rPr>
            <a:t> Ano</a:t>
          </a:r>
          <a:endParaRPr lang="pt-B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0</xdr:colOff>
      <xdr:row>2</xdr:row>
      <xdr:rowOff>68580</xdr:rowOff>
    </xdr:from>
    <xdr:to>
      <xdr:col>20</xdr:col>
      <xdr:colOff>601980</xdr:colOff>
      <xdr:row>5</xdr:row>
      <xdr:rowOff>22860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969585A-7C9E-42A9-A235-AA8B8859DEE7}"/>
            </a:ext>
          </a:extLst>
        </xdr:cNvPr>
        <xdr:cNvSpPr txBox="1"/>
      </xdr:nvSpPr>
      <xdr:spPr>
        <a:xfrm>
          <a:off x="9144000" y="434340"/>
          <a:ext cx="3649980" cy="5029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latin typeface="Arial" panose="020B0604020202020204" pitchFamily="34" charset="0"/>
              <a:cs typeface="Arial" panose="020B0604020202020204" pitchFamily="34" charset="0"/>
            </a:rPr>
            <a:t>Terceiro</a:t>
          </a:r>
          <a:r>
            <a:rPr lang="pt-BR" sz="1600" baseline="0">
              <a:latin typeface="Arial" panose="020B0604020202020204" pitchFamily="34" charset="0"/>
              <a:cs typeface="Arial" panose="020B0604020202020204" pitchFamily="34" charset="0"/>
            </a:rPr>
            <a:t> Ano</a:t>
          </a:r>
          <a:endParaRPr lang="pt-B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35</xdr:col>
      <xdr:colOff>349250</xdr:colOff>
      <xdr:row>1</xdr:row>
      <xdr:rowOff>57151</xdr:rowOff>
    </xdr:from>
    <xdr:to>
      <xdr:col>40</xdr:col>
      <xdr:colOff>592667</xdr:colOff>
      <xdr:row>5</xdr:row>
      <xdr:rowOff>105835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E5DE925-D972-9C38-FBDF-3F82F3EA9BCF}"/>
            </a:ext>
          </a:extLst>
        </xdr:cNvPr>
        <xdr:cNvSpPr txBox="1"/>
      </xdr:nvSpPr>
      <xdr:spPr>
        <a:xfrm>
          <a:off x="21992167" y="237068"/>
          <a:ext cx="3312583" cy="76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Considerando todas as mudanças que acontecem a cada ano no mercado financeiro, supomos uma inflação de 7% ao ano.</a:t>
          </a:r>
        </a:p>
      </xdr:txBody>
    </xdr:sp>
    <xdr:clientData/>
  </xdr:twoCellAnchor>
  <xdr:twoCellAnchor>
    <xdr:from>
      <xdr:col>22</xdr:col>
      <xdr:colOff>0</xdr:colOff>
      <xdr:row>2</xdr:row>
      <xdr:rowOff>76200</xdr:rowOff>
    </xdr:from>
    <xdr:to>
      <xdr:col>27</xdr:col>
      <xdr:colOff>601980</xdr:colOff>
      <xdr:row>5</xdr:row>
      <xdr:rowOff>30480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2EC5173-FB67-4632-AE91-AA95B0B5ADCF}"/>
            </a:ext>
          </a:extLst>
        </xdr:cNvPr>
        <xdr:cNvSpPr txBox="1"/>
      </xdr:nvSpPr>
      <xdr:spPr>
        <a:xfrm>
          <a:off x="13571220" y="441960"/>
          <a:ext cx="3649980" cy="5029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latin typeface="Arial" panose="020B0604020202020204" pitchFamily="34" charset="0"/>
              <a:cs typeface="Arial" panose="020B0604020202020204" pitchFamily="34" charset="0"/>
            </a:rPr>
            <a:t>Quarto Ano</a:t>
          </a:r>
        </a:p>
      </xdr:txBody>
    </xdr:sp>
    <xdr:clientData/>
  </xdr:twoCellAnchor>
  <xdr:twoCellAnchor>
    <xdr:from>
      <xdr:col>29</xdr:col>
      <xdr:colOff>7620</xdr:colOff>
      <xdr:row>2</xdr:row>
      <xdr:rowOff>91440</xdr:rowOff>
    </xdr:from>
    <xdr:to>
      <xdr:col>35</xdr:col>
      <xdr:colOff>0</xdr:colOff>
      <xdr:row>5</xdr:row>
      <xdr:rowOff>45720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28E65B18-1951-487F-A25D-EE9D83BDD4F6}"/>
            </a:ext>
          </a:extLst>
        </xdr:cNvPr>
        <xdr:cNvSpPr txBox="1"/>
      </xdr:nvSpPr>
      <xdr:spPr>
        <a:xfrm>
          <a:off x="17846040" y="457200"/>
          <a:ext cx="3649980" cy="5029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600">
              <a:latin typeface="Arial" panose="020B0604020202020204" pitchFamily="34" charset="0"/>
              <a:cs typeface="Arial" panose="020B0604020202020204" pitchFamily="34" charset="0"/>
            </a:rPr>
            <a:t>Quinto Ano</a:t>
          </a:r>
        </a:p>
      </xdr:txBody>
    </xdr:sp>
    <xdr:clientData/>
  </xdr:twoCellAnchor>
  <xdr:twoCellAnchor>
    <xdr:from>
      <xdr:col>35</xdr:col>
      <xdr:colOff>412750</xdr:colOff>
      <xdr:row>6</xdr:row>
      <xdr:rowOff>52917</xdr:rowOff>
    </xdr:from>
    <xdr:to>
      <xdr:col>41</xdr:col>
      <xdr:colOff>31749</xdr:colOff>
      <xdr:row>13</xdr:row>
      <xdr:rowOff>95250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A34C24B-A985-59F1-AD50-0423D857B1D1}"/>
            </a:ext>
          </a:extLst>
        </xdr:cNvPr>
        <xdr:cNvSpPr txBox="1"/>
      </xdr:nvSpPr>
      <xdr:spPr>
        <a:xfrm>
          <a:off x="22055667" y="1132417"/>
          <a:ext cx="3301999" cy="130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As despesas</a:t>
          </a:r>
          <a:r>
            <a:rPr lang="pt-BR" sz="1100" baseline="0"/>
            <a:t> fixas são duas: um provedor de rede (Internet) compatível e suficiente para apoiar todos os sistemas necessários, sistemas, esses, que compõe o segundo item - software -, por exemplo, plano do Google Meet, Google Agenda, Kanbanize e outros.</a:t>
          </a:r>
          <a:endParaRPr lang="pt-BR" sz="1100"/>
        </a:p>
      </xdr:txBody>
    </xdr:sp>
    <xdr:clientData/>
  </xdr:twoCellAnchor>
  <xdr:twoCellAnchor>
    <xdr:from>
      <xdr:col>35</xdr:col>
      <xdr:colOff>391583</xdr:colOff>
      <xdr:row>16</xdr:row>
      <xdr:rowOff>105834</xdr:rowOff>
    </xdr:from>
    <xdr:to>
      <xdr:col>40</xdr:col>
      <xdr:colOff>592667</xdr:colOff>
      <xdr:row>23</xdr:row>
      <xdr:rowOff>42334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37C1EF96-46DE-8EA4-9085-EB8A97B9A215}"/>
            </a:ext>
          </a:extLst>
        </xdr:cNvPr>
        <xdr:cNvSpPr txBox="1"/>
      </xdr:nvSpPr>
      <xdr:spPr>
        <a:xfrm>
          <a:off x="22034500" y="2984501"/>
          <a:ext cx="3270250" cy="1195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As despesas variáveis são consideradas</a:t>
          </a:r>
          <a:r>
            <a:rPr lang="pt-BR" sz="1100" baseline="0"/>
            <a:t> mediantes o crescimento e necessidade da empresa ao longo do tempo. Investimento em marketing e google ads, além do armazenamento ocupado em cloud, medido e custeado perante a quantidade de uso (AWS).</a:t>
          </a:r>
          <a:endParaRPr lang="pt-BR" sz="1100"/>
        </a:p>
      </xdr:txBody>
    </xdr:sp>
    <xdr:clientData/>
  </xdr:twoCellAnchor>
  <xdr:twoCellAnchor>
    <xdr:from>
      <xdr:col>35</xdr:col>
      <xdr:colOff>402167</xdr:colOff>
      <xdr:row>31</xdr:row>
      <xdr:rowOff>74083</xdr:rowOff>
    </xdr:from>
    <xdr:to>
      <xdr:col>41</xdr:col>
      <xdr:colOff>0</xdr:colOff>
      <xdr:row>36</xdr:row>
      <xdr:rowOff>10583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9DB8250A-D82D-5667-FD8B-94ADE1627D2D}"/>
            </a:ext>
          </a:extLst>
        </xdr:cNvPr>
        <xdr:cNvSpPr txBox="1"/>
      </xdr:nvSpPr>
      <xdr:spPr>
        <a:xfrm>
          <a:off x="22045084" y="5651500"/>
          <a:ext cx="3280833" cy="83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Nos colaboradores, há,</a:t>
          </a:r>
          <a:r>
            <a:rPr lang="pt-BR" sz="1100" baseline="0"/>
            <a:t> além dos salários, os beneficios comuns como vale refeição e/ou alimentação. Valores que aumentam conforme o faturamento da empresa ao decorrer dos anos.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106680</xdr:rowOff>
    </xdr:from>
    <xdr:to>
      <xdr:col>6</xdr:col>
      <xdr:colOff>0</xdr:colOff>
      <xdr:row>4</xdr:row>
      <xdr:rowOff>15240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D2D1B81-28AF-0F1F-56A2-002B79746B76}"/>
            </a:ext>
          </a:extLst>
        </xdr:cNvPr>
        <xdr:cNvSpPr txBox="1"/>
      </xdr:nvSpPr>
      <xdr:spPr>
        <a:xfrm>
          <a:off x="617220" y="289560"/>
          <a:ext cx="3779520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latin typeface="Arial" panose="020B0604020202020204" pitchFamily="34" charset="0"/>
              <a:cs typeface="Arial" panose="020B0604020202020204" pitchFamily="34" charset="0"/>
            </a:rPr>
            <a:t>Primeiro Ano</a:t>
          </a:r>
        </a:p>
      </xdr:txBody>
    </xdr:sp>
    <xdr:clientData/>
  </xdr:twoCellAnchor>
  <xdr:twoCellAnchor>
    <xdr:from>
      <xdr:col>7</xdr:col>
      <xdr:colOff>7620</xdr:colOff>
      <xdr:row>1</xdr:row>
      <xdr:rowOff>114300</xdr:rowOff>
    </xdr:from>
    <xdr:to>
      <xdr:col>13</xdr:col>
      <xdr:colOff>7620</xdr:colOff>
      <xdr:row>4</xdr:row>
      <xdr:rowOff>22860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A7D26BA-4D2F-40CF-9F20-8BA8A25BEF38}"/>
            </a:ext>
          </a:extLst>
        </xdr:cNvPr>
        <xdr:cNvSpPr txBox="1"/>
      </xdr:nvSpPr>
      <xdr:spPr>
        <a:xfrm>
          <a:off x="5173980" y="297180"/>
          <a:ext cx="4480560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latin typeface="Arial" panose="020B0604020202020204" pitchFamily="34" charset="0"/>
              <a:cs typeface="Arial" panose="020B0604020202020204" pitchFamily="34" charset="0"/>
            </a:rPr>
            <a:t>Segundo Ano</a:t>
          </a:r>
        </a:p>
      </xdr:txBody>
    </xdr:sp>
    <xdr:clientData/>
  </xdr:twoCellAnchor>
  <xdr:twoCellAnchor>
    <xdr:from>
      <xdr:col>13</xdr:col>
      <xdr:colOff>601980</xdr:colOff>
      <xdr:row>1</xdr:row>
      <xdr:rowOff>121920</xdr:rowOff>
    </xdr:from>
    <xdr:to>
      <xdr:col>20</xdr:col>
      <xdr:colOff>0</xdr:colOff>
      <xdr:row>4</xdr:row>
      <xdr:rowOff>30480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19364E2A-F929-4F57-BDEC-C957041CF5BB}"/>
            </a:ext>
          </a:extLst>
        </xdr:cNvPr>
        <xdr:cNvSpPr txBox="1"/>
      </xdr:nvSpPr>
      <xdr:spPr>
        <a:xfrm>
          <a:off x="10248900" y="304800"/>
          <a:ext cx="3665220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latin typeface="Arial" panose="020B0604020202020204" pitchFamily="34" charset="0"/>
              <a:cs typeface="Arial" panose="020B0604020202020204" pitchFamily="34" charset="0"/>
            </a:rPr>
            <a:t>Terceiro Ano</a:t>
          </a:r>
        </a:p>
      </xdr:txBody>
    </xdr:sp>
    <xdr:clientData/>
  </xdr:twoCellAnchor>
  <xdr:twoCellAnchor>
    <xdr:from>
      <xdr:col>20</xdr:col>
      <xdr:colOff>601980</xdr:colOff>
      <xdr:row>1</xdr:row>
      <xdr:rowOff>129540</xdr:rowOff>
    </xdr:from>
    <xdr:to>
      <xdr:col>27</xdr:col>
      <xdr:colOff>7620</xdr:colOff>
      <xdr:row>4</xdr:row>
      <xdr:rowOff>38100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2E311B6-45CD-4700-83D2-1C1CAB0D1D7C}"/>
            </a:ext>
          </a:extLst>
        </xdr:cNvPr>
        <xdr:cNvSpPr txBox="1"/>
      </xdr:nvSpPr>
      <xdr:spPr>
        <a:xfrm>
          <a:off x="15209520" y="312420"/>
          <a:ext cx="3672840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latin typeface="Arial" panose="020B0604020202020204" pitchFamily="34" charset="0"/>
              <a:cs typeface="Arial" panose="020B0604020202020204" pitchFamily="34" charset="0"/>
            </a:rPr>
            <a:t>Quarto Ano</a:t>
          </a:r>
        </a:p>
      </xdr:txBody>
    </xdr:sp>
    <xdr:clientData/>
  </xdr:twoCellAnchor>
  <xdr:twoCellAnchor>
    <xdr:from>
      <xdr:col>28</xdr:col>
      <xdr:colOff>0</xdr:colOff>
      <xdr:row>1</xdr:row>
      <xdr:rowOff>129540</xdr:rowOff>
    </xdr:from>
    <xdr:to>
      <xdr:col>33</xdr:col>
      <xdr:colOff>601980</xdr:colOff>
      <xdr:row>4</xdr:row>
      <xdr:rowOff>38100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F8F3FD5C-4B26-4AC9-A8C8-B4084932DDFC}"/>
            </a:ext>
          </a:extLst>
        </xdr:cNvPr>
        <xdr:cNvSpPr txBox="1"/>
      </xdr:nvSpPr>
      <xdr:spPr>
        <a:xfrm>
          <a:off x="20307300" y="312420"/>
          <a:ext cx="3649980" cy="457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>
              <a:latin typeface="Arial" panose="020B0604020202020204" pitchFamily="34" charset="0"/>
              <a:cs typeface="Arial" panose="020B0604020202020204" pitchFamily="34" charset="0"/>
            </a:rPr>
            <a:t>Quinto Ano</a:t>
          </a:r>
        </a:p>
      </xdr:txBody>
    </xdr:sp>
    <xdr:clientData/>
  </xdr:twoCellAnchor>
  <xdr:twoCellAnchor>
    <xdr:from>
      <xdr:col>34</xdr:col>
      <xdr:colOff>604024</xdr:colOff>
      <xdr:row>5</xdr:row>
      <xdr:rowOff>18586</xdr:rowOff>
    </xdr:from>
    <xdr:to>
      <xdr:col>39</xdr:col>
      <xdr:colOff>27878</xdr:colOff>
      <xdr:row>10</xdr:row>
      <xdr:rowOff>167268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232C5EF2-20F5-1BB0-822D-3F9420F881CF}"/>
            </a:ext>
          </a:extLst>
        </xdr:cNvPr>
        <xdr:cNvSpPr txBox="1"/>
      </xdr:nvSpPr>
      <xdr:spPr>
        <a:xfrm>
          <a:off x="28519244" y="947854"/>
          <a:ext cx="2490439" cy="1077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As Receitas</a:t>
          </a:r>
          <a:r>
            <a:rPr lang="pt-BR" sz="1100" baseline="0"/>
            <a:t> relacionam os percentuais que somam nos lucros da empresa. Por exemplo, o QuickTrip no seu quinto ano, contaria com 40% de seu faturamento vindo de planos de usuários.</a:t>
          </a:r>
          <a:endParaRPr lang="pt-BR" sz="1100"/>
        </a:p>
      </xdr:txBody>
    </xdr:sp>
    <xdr:clientData/>
  </xdr:twoCellAnchor>
  <xdr:twoCellAnchor>
    <xdr:from>
      <xdr:col>35</xdr:col>
      <xdr:colOff>0</xdr:colOff>
      <xdr:row>12</xdr:row>
      <xdr:rowOff>157975</xdr:rowOff>
    </xdr:from>
    <xdr:to>
      <xdr:col>39</xdr:col>
      <xdr:colOff>18586</xdr:colOff>
      <xdr:row>19</xdr:row>
      <xdr:rowOff>157975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5FAA23C2-7B3D-B4D6-494A-76971113A693}"/>
            </a:ext>
          </a:extLst>
        </xdr:cNvPr>
        <xdr:cNvSpPr txBox="1"/>
      </xdr:nvSpPr>
      <xdr:spPr>
        <a:xfrm>
          <a:off x="28528537" y="2388219"/>
          <a:ext cx="2471854" cy="1300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</a:t>
          </a:r>
          <a:r>
            <a:rPr lang="pt-BR" sz="1100" baseline="0"/>
            <a:t> Anúncios Internos representam uma pequena parte do todo da empresa, em que, acordado com demais empresas, estaria presente no site/aplicativo anúncios específicos e exclusivos, linkando e fornecendo mais acessos de usuários para ambas as partes.</a:t>
          </a:r>
          <a:endParaRPr lang="pt-BR" sz="1100"/>
        </a:p>
      </xdr:txBody>
    </xdr:sp>
    <xdr:clientData/>
  </xdr:twoCellAnchor>
  <xdr:twoCellAnchor>
    <xdr:from>
      <xdr:col>35</xdr:col>
      <xdr:colOff>9292</xdr:colOff>
      <xdr:row>21</xdr:row>
      <xdr:rowOff>27878</xdr:rowOff>
    </xdr:from>
    <xdr:to>
      <xdr:col>38</xdr:col>
      <xdr:colOff>604024</xdr:colOff>
      <xdr:row>29</xdr:row>
      <xdr:rowOff>130098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BE9421E-133F-5144-4C3A-55B021E3A06C}"/>
            </a:ext>
          </a:extLst>
        </xdr:cNvPr>
        <xdr:cNvSpPr txBox="1"/>
      </xdr:nvSpPr>
      <xdr:spPr>
        <a:xfrm>
          <a:off x="28537829" y="3930805"/>
          <a:ext cx="2434683" cy="1589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 Comissão de Empresas é o linkamento que fornecemos para os</a:t>
          </a:r>
          <a:r>
            <a:rPr lang="pt-BR" sz="1100" baseline="0"/>
            <a:t> usuários acessarem e realizarem a reserva e/ou compra através dos sites próprios de empresas parceiras. Por exemplo, 110,00 reais acordados para cada venda de reserva de transporte que faremos com uma empresa X.</a:t>
          </a:r>
          <a:endParaRPr lang="pt-BR" sz="1100"/>
        </a:p>
      </xdr:txBody>
    </xdr:sp>
    <xdr:clientData/>
  </xdr:twoCellAnchor>
  <xdr:twoCellAnchor>
    <xdr:from>
      <xdr:col>35</xdr:col>
      <xdr:colOff>9291</xdr:colOff>
      <xdr:row>32</xdr:row>
      <xdr:rowOff>18584</xdr:rowOff>
    </xdr:from>
    <xdr:to>
      <xdr:col>39</xdr:col>
      <xdr:colOff>130096</xdr:colOff>
      <xdr:row>42</xdr:row>
      <xdr:rowOff>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5F2F3D01-8E15-138E-9299-38906F8684CB}"/>
            </a:ext>
          </a:extLst>
        </xdr:cNvPr>
        <xdr:cNvSpPr txBox="1"/>
      </xdr:nvSpPr>
      <xdr:spPr>
        <a:xfrm>
          <a:off x="28537828" y="5965901"/>
          <a:ext cx="2574073" cy="183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Plano Premium</a:t>
          </a:r>
          <a:r>
            <a:rPr lang="pt-BR" sz="1100" baseline="0"/>
            <a:t> é o valor agregado sobre assinaturas feitas por usuários. Por meio de duas opções: a mais simples, sem anúncios durante a pesquisa e geração de roteiros, com quantidade limitada de filtros e a opção 2, sem anúncios, com ofertas relâmpagas exclusivas, incluindo promoção de passagens, passes livres em passeios etc e acesso ilimitado a todos os filtros.</a:t>
          </a:r>
          <a:endParaRPr lang="pt-BR" sz="1100"/>
        </a:p>
      </xdr:txBody>
    </xdr:sp>
    <xdr:clientData/>
  </xdr:twoCellAnchor>
  <xdr:twoCellAnchor>
    <xdr:from>
      <xdr:col>35</xdr:col>
      <xdr:colOff>0</xdr:colOff>
      <xdr:row>42</xdr:row>
      <xdr:rowOff>46463</xdr:rowOff>
    </xdr:from>
    <xdr:to>
      <xdr:col>38</xdr:col>
      <xdr:colOff>594732</xdr:colOff>
      <xdr:row>50</xdr:row>
      <xdr:rowOff>55756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7F74FC74-3AD5-72E9-7268-F68F8374F739}"/>
            </a:ext>
          </a:extLst>
        </xdr:cNvPr>
        <xdr:cNvSpPr txBox="1"/>
      </xdr:nvSpPr>
      <xdr:spPr>
        <a:xfrm>
          <a:off x="28528537" y="7852317"/>
          <a:ext cx="2434683" cy="14961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Os</a:t>
          </a:r>
          <a:r>
            <a:rPr lang="pt-BR" sz="1100" baseline="0"/>
            <a:t> descontos com empresas parceiras é uma parte de geração de receita em que usuários podem comprar "cupons" para conseguir descontos específicos como, por exemplo, 12% em toda hospedagem que ele escolher que a QuickTrip possua algum vínculo.</a:t>
          </a:r>
          <a:endParaRPr lang="pt-BR" sz="1100"/>
        </a:p>
      </xdr:txBody>
    </xdr:sp>
    <xdr:clientData/>
  </xdr:twoCellAnchor>
  <xdr:twoCellAnchor>
    <xdr:from>
      <xdr:col>33</xdr:col>
      <xdr:colOff>315952</xdr:colOff>
      <xdr:row>68</xdr:row>
      <xdr:rowOff>167268</xdr:rowOff>
    </xdr:from>
    <xdr:to>
      <xdr:col>37</xdr:col>
      <xdr:colOff>455341</xdr:colOff>
      <xdr:row>75</xdr:row>
      <xdr:rowOff>120805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81086353-3459-6F65-E36F-7CF42EFA881C}"/>
            </a:ext>
          </a:extLst>
        </xdr:cNvPr>
        <xdr:cNvSpPr txBox="1"/>
      </xdr:nvSpPr>
      <xdr:spPr>
        <a:xfrm>
          <a:off x="27617854" y="12805317"/>
          <a:ext cx="2592658" cy="1254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Para os</a:t>
          </a:r>
          <a:r>
            <a:rPr lang="pt-BR" sz="1100" baseline="0"/>
            <a:t> valores finais, utilizou-se a taxa principal (TMA) de 20% quando necessário e para o VPL (1,53), valor de 20% dividido e arredondado para obter uma taxa mensal. 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594360</xdr:colOff>
      <xdr:row>1</xdr:row>
      <xdr:rowOff>175260</xdr:rowOff>
    </xdr:from>
    <xdr:to>
      <xdr:col>10</xdr:col>
      <xdr:colOff>15240</xdr:colOff>
      <xdr:row>5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3029914-2F6C-4A5D-D493-16BCD1E4CE52}"/>
            </a:ext>
          </a:extLst>
        </xdr:cNvPr>
        <xdr:cNvSpPr txBox="1"/>
      </xdr:nvSpPr>
      <xdr:spPr>
        <a:xfrm>
          <a:off x="3512820" y="358140"/>
          <a:ext cx="5234940" cy="556260"/>
        </a:xfrm>
        <a:prstGeom prst="rect">
          <a:avLst/>
        </a:prstGeom>
        <a:solidFill>
          <a:srgbClr val="FFFBC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latin typeface="Arial" panose="020B0604020202020204" pitchFamily="34" charset="0"/>
              <a:cs typeface="Arial" panose="020B0604020202020204" pitchFamily="34" charset="0"/>
            </a:rPr>
            <a:t>CASO REAL</a:t>
          </a:r>
        </a:p>
      </xdr:txBody>
    </xdr:sp>
    <xdr:clientData/>
  </xdr:twoCellAnchor>
  <xdr:twoCellAnchor>
    <xdr:from>
      <xdr:col>0</xdr:col>
      <xdr:colOff>1287780</xdr:colOff>
      <xdr:row>10</xdr:row>
      <xdr:rowOff>129540</xdr:rowOff>
    </xdr:from>
    <xdr:to>
      <xdr:col>3</xdr:col>
      <xdr:colOff>601980</xdr:colOff>
      <xdr:row>14</xdr:row>
      <xdr:rowOff>137160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C59F8C6-D9C1-2984-762C-0A7233BE07ED}"/>
            </a:ext>
          </a:extLst>
        </xdr:cNvPr>
        <xdr:cNvSpPr txBox="1"/>
      </xdr:nvSpPr>
      <xdr:spPr>
        <a:xfrm>
          <a:off x="1287780" y="1958340"/>
          <a:ext cx="223266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 Valor Liquido é o valor obtido</a:t>
          </a:r>
          <a:r>
            <a:rPr lang="pt-BR" sz="1100" baseline="0"/>
            <a:t> pela diferença entre as despesas da empresa e o total das receitas.</a:t>
          </a:r>
          <a:endParaRPr lang="pt-BR" sz="1100"/>
        </a:p>
      </xdr:txBody>
    </xdr:sp>
    <xdr:clientData/>
  </xdr:twoCellAnchor>
  <xdr:twoCellAnchor>
    <xdr:from>
      <xdr:col>6</xdr:col>
      <xdr:colOff>419100</xdr:colOff>
      <xdr:row>23</xdr:row>
      <xdr:rowOff>60959</xdr:rowOff>
    </xdr:from>
    <xdr:to>
      <xdr:col>8</xdr:col>
      <xdr:colOff>557283</xdr:colOff>
      <xdr:row>32</xdr:row>
      <xdr:rowOff>11372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DF11709-6F4B-1E98-00EB-63BB14FF7D6D}"/>
            </a:ext>
          </a:extLst>
        </xdr:cNvPr>
        <xdr:cNvSpPr txBox="1"/>
      </xdr:nvSpPr>
      <xdr:spPr>
        <a:xfrm>
          <a:off x="5502891" y="4246272"/>
          <a:ext cx="2048870" cy="1588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VPL (Valor Presente Líquido) - mostra como</a:t>
          </a:r>
          <a:r>
            <a:rPr lang="pt-BR" sz="1100" baseline="0"/>
            <a:t> o fluxo de caixa está fluindo mediante os investimentos iniciais. VPLa (Valor Presente Líquido Anualizado) é o mesmo do VPL, mas considerando uma base anual.</a:t>
          </a:r>
          <a:endParaRPr lang="pt-BR" sz="1100"/>
        </a:p>
      </xdr:txBody>
    </xdr:sp>
    <xdr:clientData/>
  </xdr:twoCellAnchor>
  <xdr:twoCellAnchor>
    <xdr:from>
      <xdr:col>8</xdr:col>
      <xdr:colOff>937260</xdr:colOff>
      <xdr:row>23</xdr:row>
      <xdr:rowOff>137160</xdr:rowOff>
    </xdr:from>
    <xdr:to>
      <xdr:col>12</xdr:col>
      <xdr:colOff>266700</xdr:colOff>
      <xdr:row>30</xdr:row>
      <xdr:rowOff>175260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8131832-6DD4-88E0-519F-93538FDAF756}"/>
            </a:ext>
          </a:extLst>
        </xdr:cNvPr>
        <xdr:cNvSpPr txBox="1"/>
      </xdr:nvSpPr>
      <xdr:spPr>
        <a:xfrm>
          <a:off x="7924800" y="4343400"/>
          <a:ext cx="254508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IBC (índice benefício/custo) - é o cálculo</a:t>
          </a:r>
          <a:r>
            <a:rPr lang="pt-BR" sz="1100" baseline="0"/>
            <a:t> dos valores dos benefícios (receitas) dividido pelos custos.</a:t>
          </a:r>
        </a:p>
        <a:p>
          <a:r>
            <a:rPr lang="pt-BR" sz="1100" baseline="0"/>
            <a:t>ROIA (Retorno Adicional sobre Investimento) - valor gerado  pelo cálculo do investimento inicial e pelo total dos valores do fluxo.</a:t>
          </a:r>
          <a:endParaRPr lang="pt-BR" sz="1100"/>
        </a:p>
      </xdr:txBody>
    </xdr:sp>
    <xdr:clientData/>
  </xdr:twoCellAnchor>
  <xdr:twoCellAnchor>
    <xdr:from>
      <xdr:col>12</xdr:col>
      <xdr:colOff>701040</xdr:colOff>
      <xdr:row>23</xdr:row>
      <xdr:rowOff>106680</xdr:rowOff>
    </xdr:from>
    <xdr:to>
      <xdr:col>16</xdr:col>
      <xdr:colOff>102358</xdr:colOff>
      <xdr:row>30</xdr:row>
      <xdr:rowOff>136478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A5F03D7-EFBE-5ED1-514D-5F4E8C725DD4}"/>
            </a:ext>
          </a:extLst>
        </xdr:cNvPr>
        <xdr:cNvSpPr txBox="1"/>
      </xdr:nvSpPr>
      <xdr:spPr>
        <a:xfrm>
          <a:off x="10925488" y="4291993"/>
          <a:ext cx="3552512" cy="1303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PAYBACK - recuperação do investimento. No caso real, em média demoraria quatro anos para que</a:t>
          </a:r>
          <a:r>
            <a:rPr lang="pt-BR" sz="1100" baseline="0"/>
            <a:t> o valor de investimento fosse recuperado.</a:t>
          </a:r>
        </a:p>
        <a:p>
          <a:r>
            <a:rPr lang="pt-BR" sz="1100" baseline="0"/>
            <a:t>TIR (Taxa Interna de Retorno) - é a taxa de retorno esperada mediante um investimento inicial. Quanto maior for o TIR em comparação ao TMA, melhor.</a:t>
          </a:r>
          <a:endParaRPr lang="pt-BR" sz="1100"/>
        </a:p>
      </xdr:txBody>
    </xdr:sp>
    <xdr:clientData/>
  </xdr:twoCellAnchor>
  <xdr:twoCellAnchor>
    <xdr:from>
      <xdr:col>0</xdr:col>
      <xdr:colOff>320040</xdr:colOff>
      <xdr:row>5</xdr:row>
      <xdr:rowOff>91440</xdr:rowOff>
    </xdr:from>
    <xdr:to>
      <xdr:col>2</xdr:col>
      <xdr:colOff>487680</xdr:colOff>
      <xdr:row>9</xdr:row>
      <xdr:rowOff>83820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77D2B296-38AD-0C9B-6C6D-C6E79B43B3FA}"/>
            </a:ext>
          </a:extLst>
        </xdr:cNvPr>
        <xdr:cNvSpPr txBox="1"/>
      </xdr:nvSpPr>
      <xdr:spPr>
        <a:xfrm>
          <a:off x="320040" y="1005840"/>
          <a:ext cx="24765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TMA é a Taxa</a:t>
          </a:r>
          <a:r>
            <a:rPr lang="pt-BR" sz="1100" baseline="0"/>
            <a:t> Mínima de Atratividade e/ou taxa de retorno, nessa caso, ela possui valor de 20% ao ano.</a:t>
          </a:r>
          <a:endParaRPr lang="pt-BR" sz="1100"/>
        </a:p>
      </xdr:txBody>
    </xdr:sp>
    <xdr:clientData/>
  </xdr:twoCellAnchor>
  <xdr:twoCellAnchor>
    <xdr:from>
      <xdr:col>13</xdr:col>
      <xdr:colOff>266700</xdr:colOff>
      <xdr:row>12</xdr:row>
      <xdr:rowOff>30480</xdr:rowOff>
    </xdr:from>
    <xdr:to>
      <xdr:col>15</xdr:col>
      <xdr:colOff>601980</xdr:colOff>
      <xdr:row>19</xdr:row>
      <xdr:rowOff>7620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2E74B478-A640-9C45-1B79-F5042EFA4EED}"/>
            </a:ext>
          </a:extLst>
        </xdr:cNvPr>
        <xdr:cNvSpPr txBox="1"/>
      </xdr:nvSpPr>
      <xdr:spPr>
        <a:xfrm>
          <a:off x="11742420" y="2225040"/>
          <a:ext cx="220218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</a:t>
          </a:r>
          <a:r>
            <a:rPr lang="pt-BR" sz="1100" baseline="0"/>
            <a:t> Valor Recuperado e o Valor Acumulado são feitos para descobrir o valor dos gastos e lucros do presente e, assim, saber em qual ano foi recuperado 100% o valor do investimento.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10</xdr:col>
      <xdr:colOff>967740</xdr:colOff>
      <xdr:row>7</xdr:row>
      <xdr:rowOff>7620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252F989-FA1D-4EAE-A866-6B777097A184}"/>
            </a:ext>
          </a:extLst>
        </xdr:cNvPr>
        <xdr:cNvSpPr txBox="1"/>
      </xdr:nvSpPr>
      <xdr:spPr>
        <a:xfrm>
          <a:off x="4122420" y="731520"/>
          <a:ext cx="5242560" cy="556260"/>
        </a:xfrm>
        <a:prstGeom prst="rect">
          <a:avLst/>
        </a:prstGeom>
        <a:solidFill>
          <a:srgbClr val="FF99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latin typeface="Arial" panose="020B0604020202020204" pitchFamily="34" charset="0"/>
              <a:cs typeface="Arial" panose="020B0604020202020204" pitchFamily="34" charset="0"/>
            </a:rPr>
            <a:t>CASO PESSIMISTA</a:t>
          </a:r>
        </a:p>
        <a:p>
          <a:pPr algn="ctr"/>
          <a:endParaRPr lang="pt-B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1379220</xdr:colOff>
      <xdr:row>7</xdr:row>
      <xdr:rowOff>121920</xdr:rowOff>
    </xdr:from>
    <xdr:to>
      <xdr:col>3</xdr:col>
      <xdr:colOff>426720</xdr:colOff>
      <xdr:row>13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89771C2-149A-EEB8-98B3-61F2BB831C75}"/>
            </a:ext>
          </a:extLst>
        </xdr:cNvPr>
        <xdr:cNvSpPr txBox="1"/>
      </xdr:nvSpPr>
      <xdr:spPr>
        <a:xfrm>
          <a:off x="1379220" y="1402080"/>
          <a:ext cx="2034540" cy="1051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Para o caso Pessimista, consideramos que a inflação aumentou e, portanto, as</a:t>
          </a:r>
          <a:r>
            <a:rPr lang="pt-BR" sz="1100" baseline="0"/>
            <a:t> despesas também e as receitas, consequetemente, diminuem.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579120</xdr:colOff>
      <xdr:row>4</xdr:row>
      <xdr:rowOff>76200</xdr:rowOff>
    </xdr:from>
    <xdr:to>
      <xdr:col>11</xdr:col>
      <xdr:colOff>7620</xdr:colOff>
      <xdr:row>7</xdr:row>
      <xdr:rowOff>83820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C66653A-80BF-4FC8-8454-5D7C6FBA786F}"/>
            </a:ext>
          </a:extLst>
        </xdr:cNvPr>
        <xdr:cNvSpPr txBox="1"/>
      </xdr:nvSpPr>
      <xdr:spPr>
        <a:xfrm>
          <a:off x="4091940" y="807720"/>
          <a:ext cx="5440680" cy="556260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800">
              <a:latin typeface="Arial" panose="020B0604020202020204" pitchFamily="34" charset="0"/>
              <a:cs typeface="Arial" panose="020B0604020202020204" pitchFamily="34" charset="0"/>
            </a:rPr>
            <a:t>CASO OTIMISTA</a:t>
          </a:r>
        </a:p>
      </xdr:txBody>
    </xdr:sp>
    <xdr:clientData/>
  </xdr:twoCellAnchor>
  <xdr:twoCellAnchor>
    <xdr:from>
      <xdr:col>1</xdr:col>
      <xdr:colOff>15240</xdr:colOff>
      <xdr:row>6</xdr:row>
      <xdr:rowOff>121920</xdr:rowOff>
    </xdr:from>
    <xdr:to>
      <xdr:col>4</xdr:col>
      <xdr:colOff>45720</xdr:colOff>
      <xdr:row>12</xdr:row>
      <xdr:rowOff>160020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CDC1DA8-AC72-11CA-8593-364A53432265}"/>
            </a:ext>
          </a:extLst>
        </xdr:cNvPr>
        <xdr:cNvSpPr txBox="1"/>
      </xdr:nvSpPr>
      <xdr:spPr>
        <a:xfrm>
          <a:off x="1424940" y="1219200"/>
          <a:ext cx="2133600" cy="113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Foi</a:t>
          </a:r>
          <a:r>
            <a:rPr lang="pt-BR" sz="1100" baseline="0"/>
            <a:t> considerado um aumento de 8% na receita, em que, hipoteticamente, a economia está estável e/ou crescente. Assim, toda a receita aumentará, pois, o número de usuários também.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7620</xdr:rowOff>
    </xdr:from>
    <xdr:to>
      <xdr:col>12</xdr:col>
      <xdr:colOff>7620</xdr:colOff>
      <xdr:row>7</xdr:row>
      <xdr:rowOff>53340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176AED9-67CC-6789-9E8D-0AA4AE1C6153}"/>
            </a:ext>
          </a:extLst>
        </xdr:cNvPr>
        <xdr:cNvSpPr txBox="1"/>
      </xdr:nvSpPr>
      <xdr:spPr>
        <a:xfrm>
          <a:off x="2438400" y="190500"/>
          <a:ext cx="5638800" cy="1143000"/>
        </a:xfrm>
        <a:prstGeom prst="rect">
          <a:avLst/>
        </a:prstGeom>
        <a:solidFill>
          <a:srgbClr val="0E8CB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3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CONCLUSÃO DOS</a:t>
          </a:r>
          <a:r>
            <a:rPr lang="pt-BR" sz="3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endParaRPr lang="pt-BR" sz="3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15240</xdr:colOff>
      <xdr:row>18</xdr:row>
      <xdr:rowOff>144780</xdr:rowOff>
    </xdr:from>
    <xdr:to>
      <xdr:col>12</xdr:col>
      <xdr:colOff>7620</xdr:colOff>
      <xdr:row>28</xdr:row>
      <xdr:rowOff>15240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DAE4A4-1799-DB3E-184E-909DF9190110}"/>
            </a:ext>
          </a:extLst>
        </xdr:cNvPr>
        <xdr:cNvSpPr txBox="1"/>
      </xdr:nvSpPr>
      <xdr:spPr>
        <a:xfrm>
          <a:off x="2453640" y="3436620"/>
          <a:ext cx="5623560" cy="16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Considerando os três casos acima, pudemos perceber e compravar que o investimento em um aplicativo como o QuickTrip</a:t>
          </a:r>
          <a:r>
            <a:rPr lang="pt-BR" sz="1100" baseline="0"/>
            <a:t>, com o devido gerenciamento de pessoas, conhecimento e projetos, geraria um bom retorno. Nos três casos, o PAYBACK e o TIR apresentam números bons e acima da TMA de 20%, mesmo que no caso pessimista demorasse mais, quase no quinto ano (4,65) e só obtivesse uma diferença de 5% sobre a taxa de retorno, ainda se demonstra como um negócio lucrativo, visto que acontecem inúmeras variações e mudanças a cada ano no mercado financeiro e na área de tecnologia e, isso, impacta diretamente em todos os valores obtidos. No geral, mesmo em um cenário mais pessimista, o risco pode ser considerado baixo e, portanto, é um investimento com retorno garantido.</a:t>
          </a:r>
          <a:endParaRPr lang="pt-B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19D2-0C65-4BF2-941F-30AFB22198A4}">
  <dimension ref="A1"/>
  <sheetViews>
    <sheetView workbookViewId="0">
      <selection activeCell="R21" sqref="R21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6153-4B3D-4C98-9DDD-E71212488EDC}">
  <dimension ref="B1:L26"/>
  <sheetViews>
    <sheetView topLeftCell="A3" workbookViewId="0">
      <selection activeCell="J8" sqref="J8:L8"/>
    </sheetView>
  </sheetViews>
  <sheetFormatPr defaultRowHeight="14.4" x14ac:dyDescent="0.3"/>
  <cols>
    <col min="2" max="2" width="31.109375" bestFit="1" customWidth="1"/>
    <col min="3" max="3" width="16.5546875" customWidth="1"/>
    <col min="4" max="4" width="12.33203125" customWidth="1"/>
    <col min="6" max="6" width="20.33203125" bestFit="1" customWidth="1"/>
    <col min="7" max="7" width="14.21875" bestFit="1" customWidth="1"/>
    <col min="8" max="8" width="13.109375" bestFit="1" customWidth="1"/>
    <col min="10" max="10" width="9.33203125" bestFit="1" customWidth="1"/>
    <col min="11" max="11" width="10.33203125" bestFit="1" customWidth="1"/>
    <col min="12" max="12" width="14.21875" bestFit="1" customWidth="1"/>
  </cols>
  <sheetData>
    <row r="1" spans="2:12" ht="20.399999999999999" x14ac:dyDescent="0.35">
      <c r="B1" s="100" t="s">
        <v>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3" spans="2:12" ht="15.6" x14ac:dyDescent="0.3">
      <c r="B3" s="102" t="s">
        <v>24</v>
      </c>
      <c r="C3" s="102"/>
      <c r="D3" s="102"/>
      <c r="F3" s="98" t="s">
        <v>23</v>
      </c>
      <c r="G3" s="98"/>
      <c r="H3" s="98"/>
      <c r="J3" s="98" t="s">
        <v>0</v>
      </c>
      <c r="K3" s="98"/>
      <c r="L3" s="98"/>
    </row>
    <row r="4" spans="2:12" x14ac:dyDescent="0.3">
      <c r="B4" s="2" t="s">
        <v>3</v>
      </c>
      <c r="C4" s="2" t="s">
        <v>4</v>
      </c>
      <c r="D4" s="2" t="s">
        <v>5</v>
      </c>
      <c r="F4" s="7" t="s">
        <v>3</v>
      </c>
      <c r="G4" s="7" t="s">
        <v>4</v>
      </c>
      <c r="H4" s="7" t="s">
        <v>5</v>
      </c>
      <c r="J4" s="7" t="s">
        <v>3</v>
      </c>
      <c r="K4" s="7" t="s">
        <v>4</v>
      </c>
      <c r="L4" s="7" t="s">
        <v>5</v>
      </c>
    </row>
    <row r="5" spans="2:12" x14ac:dyDescent="0.3">
      <c r="B5" s="95"/>
      <c r="C5" s="96"/>
      <c r="D5" s="97"/>
      <c r="F5" s="92"/>
      <c r="G5" s="99"/>
      <c r="H5" s="93"/>
      <c r="J5" s="95"/>
      <c r="K5" s="96"/>
      <c r="L5" s="97"/>
    </row>
    <row r="6" spans="2:12" x14ac:dyDescent="0.3">
      <c r="B6" s="4" t="s">
        <v>6</v>
      </c>
      <c r="C6" s="5">
        <v>1</v>
      </c>
      <c r="D6" s="6">
        <v>150</v>
      </c>
      <c r="F6" s="4" t="s">
        <v>14</v>
      </c>
      <c r="G6" s="7">
        <v>10</v>
      </c>
      <c r="H6" s="8">
        <f>5000*10</f>
        <v>50000</v>
      </c>
      <c r="J6" s="4" t="s">
        <v>18</v>
      </c>
      <c r="K6" s="7">
        <v>1</v>
      </c>
      <c r="L6" s="8">
        <v>300000</v>
      </c>
    </row>
    <row r="7" spans="2:12" x14ac:dyDescent="0.3">
      <c r="B7" s="3" t="s">
        <v>7</v>
      </c>
      <c r="C7" s="5">
        <v>1</v>
      </c>
      <c r="D7" s="6">
        <v>245</v>
      </c>
      <c r="F7" s="4" t="s">
        <v>15</v>
      </c>
      <c r="G7" s="7">
        <v>1</v>
      </c>
      <c r="H7" s="8">
        <v>1000</v>
      </c>
      <c r="J7" s="4" t="s">
        <v>19</v>
      </c>
      <c r="K7" s="7">
        <v>1</v>
      </c>
      <c r="L7" s="8">
        <v>172000</v>
      </c>
    </row>
    <row r="8" spans="2:12" x14ac:dyDescent="0.3">
      <c r="B8" s="3" t="s">
        <v>12</v>
      </c>
      <c r="C8" s="5">
        <v>1</v>
      </c>
      <c r="D8" s="6">
        <v>235</v>
      </c>
      <c r="F8" s="4" t="s">
        <v>17</v>
      </c>
      <c r="G8" s="7">
        <v>1</v>
      </c>
      <c r="H8" s="8">
        <v>10000</v>
      </c>
      <c r="J8" s="92"/>
      <c r="K8" s="99"/>
      <c r="L8" s="93"/>
    </row>
    <row r="9" spans="2:12" x14ac:dyDescent="0.3">
      <c r="B9" s="3" t="s">
        <v>11</v>
      </c>
      <c r="C9" s="5">
        <v>1</v>
      </c>
      <c r="D9" s="6">
        <v>1100</v>
      </c>
      <c r="F9" s="15" t="s">
        <v>16</v>
      </c>
      <c r="G9" s="7">
        <v>2</v>
      </c>
      <c r="H9" s="8">
        <v>795</v>
      </c>
      <c r="J9" s="4" t="s">
        <v>13</v>
      </c>
      <c r="K9" s="7">
        <v>2</v>
      </c>
      <c r="L9" s="8">
        <f>L6+L7</f>
        <v>472000</v>
      </c>
    </row>
    <row r="10" spans="2:12" x14ac:dyDescent="0.3">
      <c r="B10" s="1" t="s">
        <v>8</v>
      </c>
      <c r="C10" s="5">
        <v>1</v>
      </c>
      <c r="D10" s="6">
        <v>1200</v>
      </c>
      <c r="F10" s="95"/>
      <c r="G10" s="96"/>
      <c r="H10" s="97"/>
    </row>
    <row r="11" spans="2:12" x14ac:dyDescent="0.3">
      <c r="B11" s="1" t="s">
        <v>9</v>
      </c>
      <c r="C11" s="5">
        <v>1</v>
      </c>
      <c r="D11" s="6">
        <v>200</v>
      </c>
      <c r="F11" s="12" t="s">
        <v>13</v>
      </c>
      <c r="G11" s="13">
        <f>SUM(G6+G7+G8+G9)</f>
        <v>14</v>
      </c>
      <c r="H11" s="14">
        <f>H6+H7+H8+H9</f>
        <v>61795</v>
      </c>
    </row>
    <row r="12" spans="2:12" x14ac:dyDescent="0.3">
      <c r="B12" s="1" t="s">
        <v>10</v>
      </c>
      <c r="C12" s="5">
        <v>1</v>
      </c>
      <c r="D12" s="6">
        <v>245</v>
      </c>
    </row>
    <row r="13" spans="2:12" x14ac:dyDescent="0.3">
      <c r="B13" s="95"/>
      <c r="C13" s="96"/>
      <c r="D13" s="97"/>
    </row>
    <row r="14" spans="2:12" x14ac:dyDescent="0.3">
      <c r="B14" s="9" t="s">
        <v>13</v>
      </c>
      <c r="C14" s="10">
        <f>SUM(C6+C7+C9+C8+C10+C11+C12)</f>
        <v>7</v>
      </c>
      <c r="D14" s="11">
        <f>D6+D7+D8+D10+D9+D11+D12</f>
        <v>3375</v>
      </c>
    </row>
    <row r="18" spans="4:8" x14ac:dyDescent="0.3">
      <c r="D18" s="16"/>
      <c r="E18" s="16"/>
      <c r="F18" s="16"/>
      <c r="G18" s="16"/>
      <c r="H18" s="16"/>
    </row>
    <row r="19" spans="4:8" x14ac:dyDescent="0.3">
      <c r="F19" s="91" t="s">
        <v>20</v>
      </c>
      <c r="G19" s="91"/>
    </row>
    <row r="20" spans="4:8" x14ac:dyDescent="0.3">
      <c r="F20" s="4" t="s">
        <v>3</v>
      </c>
      <c r="G20" s="4" t="s">
        <v>5</v>
      </c>
    </row>
    <row r="21" spans="4:8" x14ac:dyDescent="0.3">
      <c r="F21" s="92"/>
      <c r="G21" s="93"/>
    </row>
    <row r="22" spans="4:8" x14ac:dyDescent="0.3">
      <c r="F22" s="4" t="s">
        <v>21</v>
      </c>
      <c r="G22" s="8">
        <v>3375</v>
      </c>
    </row>
    <row r="23" spans="4:8" x14ac:dyDescent="0.3">
      <c r="F23" s="4" t="s">
        <v>22</v>
      </c>
      <c r="G23" s="8">
        <f>H11</f>
        <v>61795</v>
      </c>
    </row>
    <row r="24" spans="4:8" x14ac:dyDescent="0.3">
      <c r="F24" s="4" t="s">
        <v>0</v>
      </c>
      <c r="G24" s="8">
        <f>L9</f>
        <v>472000</v>
      </c>
    </row>
    <row r="25" spans="4:8" x14ac:dyDescent="0.3">
      <c r="F25" s="94"/>
      <c r="G25" s="94"/>
    </row>
    <row r="26" spans="4:8" x14ac:dyDescent="0.3">
      <c r="F26" s="17" t="s">
        <v>20</v>
      </c>
      <c r="G26" s="18">
        <f>G22+G23+G24</f>
        <v>537170</v>
      </c>
    </row>
  </sheetData>
  <mergeCells count="13">
    <mergeCell ref="J8:L8"/>
    <mergeCell ref="B1:L1"/>
    <mergeCell ref="B3:D3"/>
    <mergeCell ref="B5:D5"/>
    <mergeCell ref="J3:L3"/>
    <mergeCell ref="J5:L5"/>
    <mergeCell ref="F19:G19"/>
    <mergeCell ref="F21:G21"/>
    <mergeCell ref="F25:G25"/>
    <mergeCell ref="B13:D13"/>
    <mergeCell ref="F3:H3"/>
    <mergeCell ref="F5:H5"/>
    <mergeCell ref="F10:H1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8C46-3E34-4B10-9002-FACEAA3F794E}">
  <dimension ref="A7:AI67"/>
  <sheetViews>
    <sheetView topLeftCell="A13" zoomScale="72" workbookViewId="0">
      <selection activeCell="G14" sqref="G14"/>
    </sheetView>
  </sheetViews>
  <sheetFormatPr defaultRowHeight="14.4" x14ac:dyDescent="0.3"/>
  <cols>
    <col min="1" max="1" width="11.21875" bestFit="1" customWidth="1"/>
  </cols>
  <sheetData>
    <row r="7" spans="2:35" x14ac:dyDescent="0.3">
      <c r="B7" s="98" t="s">
        <v>2</v>
      </c>
      <c r="C7" s="98"/>
      <c r="D7" s="98"/>
      <c r="E7" s="98"/>
      <c r="F7" s="98"/>
      <c r="G7" s="98"/>
      <c r="I7" s="98" t="s">
        <v>2</v>
      </c>
      <c r="J7" s="98"/>
      <c r="K7" s="98"/>
      <c r="L7" s="98"/>
      <c r="M7" s="98"/>
      <c r="N7" s="98"/>
      <c r="P7" s="98" t="s">
        <v>2</v>
      </c>
      <c r="Q7" s="98"/>
      <c r="R7" s="98"/>
      <c r="S7" s="98"/>
      <c r="T7" s="98"/>
      <c r="U7" s="98"/>
      <c r="W7" s="98" t="s">
        <v>2</v>
      </c>
      <c r="X7" s="98"/>
      <c r="Y7" s="98"/>
      <c r="Z7" s="98"/>
      <c r="AA7" s="98"/>
      <c r="AB7" s="98"/>
      <c r="AD7" s="98" t="s">
        <v>2</v>
      </c>
      <c r="AE7" s="98"/>
      <c r="AF7" s="98"/>
      <c r="AG7" s="98"/>
      <c r="AH7" s="98"/>
      <c r="AI7" s="98"/>
    </row>
    <row r="8" spans="2:35" x14ac:dyDescent="0.3">
      <c r="B8" s="95" t="s">
        <v>3</v>
      </c>
      <c r="C8" s="97"/>
      <c r="D8" s="95" t="s">
        <v>4</v>
      </c>
      <c r="E8" s="97"/>
      <c r="F8" s="95" t="s">
        <v>5</v>
      </c>
      <c r="G8" s="97"/>
      <c r="I8" s="95" t="s">
        <v>3</v>
      </c>
      <c r="J8" s="97"/>
      <c r="K8" s="95" t="s">
        <v>4</v>
      </c>
      <c r="L8" s="97"/>
      <c r="M8" s="95" t="s">
        <v>5</v>
      </c>
      <c r="N8" s="97"/>
      <c r="P8" s="95" t="s">
        <v>3</v>
      </c>
      <c r="Q8" s="97"/>
      <c r="R8" s="95" t="s">
        <v>4</v>
      </c>
      <c r="S8" s="97"/>
      <c r="T8" s="95" t="s">
        <v>5</v>
      </c>
      <c r="U8" s="97"/>
      <c r="W8" s="95" t="s">
        <v>3</v>
      </c>
      <c r="X8" s="97"/>
      <c r="Y8" s="95" t="s">
        <v>4</v>
      </c>
      <c r="Z8" s="97"/>
      <c r="AA8" s="95" t="s">
        <v>5</v>
      </c>
      <c r="AB8" s="97"/>
      <c r="AD8" s="95" t="s">
        <v>3</v>
      </c>
      <c r="AE8" s="97"/>
      <c r="AF8" s="95" t="s">
        <v>4</v>
      </c>
      <c r="AG8" s="97"/>
      <c r="AH8" s="95" t="s">
        <v>5</v>
      </c>
      <c r="AI8" s="97"/>
    </row>
    <row r="9" spans="2:35" x14ac:dyDescent="0.3">
      <c r="B9" s="95"/>
      <c r="C9" s="96"/>
      <c r="D9" s="96"/>
      <c r="E9" s="96"/>
      <c r="F9" s="96"/>
      <c r="G9" s="97"/>
      <c r="I9" s="95"/>
      <c r="J9" s="96"/>
      <c r="K9" s="96"/>
      <c r="L9" s="96"/>
      <c r="M9" s="96"/>
      <c r="N9" s="97"/>
      <c r="P9" s="95"/>
      <c r="Q9" s="96"/>
      <c r="R9" s="96"/>
      <c r="S9" s="96"/>
      <c r="T9" s="96"/>
      <c r="U9" s="97"/>
      <c r="W9" s="95"/>
      <c r="X9" s="96"/>
      <c r="Y9" s="96"/>
      <c r="Z9" s="96"/>
      <c r="AA9" s="96"/>
      <c r="AB9" s="97"/>
      <c r="AD9" s="95"/>
      <c r="AE9" s="96"/>
      <c r="AF9" s="96"/>
      <c r="AG9" s="96"/>
      <c r="AH9" s="96"/>
      <c r="AI9" s="97"/>
    </row>
    <row r="10" spans="2:35" x14ac:dyDescent="0.3">
      <c r="B10" s="95" t="s">
        <v>25</v>
      </c>
      <c r="C10" s="97"/>
      <c r="D10" s="95">
        <v>1</v>
      </c>
      <c r="E10" s="97"/>
      <c r="F10" s="103">
        <v>800</v>
      </c>
      <c r="G10" s="109"/>
      <c r="I10" s="95" t="s">
        <v>25</v>
      </c>
      <c r="J10" s="97"/>
      <c r="K10" s="95">
        <v>1</v>
      </c>
      <c r="L10" s="97"/>
      <c r="M10" s="103">
        <v>800</v>
      </c>
      <c r="N10" s="109"/>
      <c r="P10" s="95" t="s">
        <v>25</v>
      </c>
      <c r="Q10" s="97"/>
      <c r="R10" s="95">
        <v>1</v>
      </c>
      <c r="S10" s="97"/>
      <c r="T10" s="103">
        <v>800</v>
      </c>
      <c r="U10" s="109"/>
      <c r="W10" s="95" t="s">
        <v>25</v>
      </c>
      <c r="X10" s="97"/>
      <c r="Y10" s="95">
        <v>1</v>
      </c>
      <c r="Z10" s="97"/>
      <c r="AA10" s="103">
        <v>800</v>
      </c>
      <c r="AB10" s="109"/>
      <c r="AD10" s="95" t="s">
        <v>25</v>
      </c>
      <c r="AE10" s="97"/>
      <c r="AF10" s="95">
        <v>1</v>
      </c>
      <c r="AG10" s="97"/>
      <c r="AH10" s="103">
        <v>800</v>
      </c>
      <c r="AI10" s="109"/>
    </row>
    <row r="11" spans="2:35" x14ac:dyDescent="0.3">
      <c r="B11" s="95" t="s">
        <v>28</v>
      </c>
      <c r="C11" s="97"/>
      <c r="D11" s="95">
        <v>4</v>
      </c>
      <c r="E11" s="97"/>
      <c r="F11" s="103">
        <v>5000</v>
      </c>
      <c r="G11" s="109"/>
      <c r="I11" s="95" t="s">
        <v>28</v>
      </c>
      <c r="J11" s="97"/>
      <c r="K11" s="95">
        <v>4</v>
      </c>
      <c r="L11" s="97"/>
      <c r="M11" s="103">
        <v>5000</v>
      </c>
      <c r="N11" s="109"/>
      <c r="P11" s="95" t="s">
        <v>28</v>
      </c>
      <c r="Q11" s="97"/>
      <c r="R11" s="95">
        <v>4</v>
      </c>
      <c r="S11" s="97"/>
      <c r="T11" s="103">
        <v>5000</v>
      </c>
      <c r="U11" s="109"/>
      <c r="W11" s="95" t="s">
        <v>28</v>
      </c>
      <c r="X11" s="97"/>
      <c r="Y11" s="95">
        <v>4</v>
      </c>
      <c r="Z11" s="97"/>
      <c r="AA11" s="103">
        <v>5000</v>
      </c>
      <c r="AB11" s="109"/>
      <c r="AD11" s="95" t="s">
        <v>28</v>
      </c>
      <c r="AE11" s="97"/>
      <c r="AF11" s="95">
        <v>4</v>
      </c>
      <c r="AG11" s="97"/>
      <c r="AH11" s="103">
        <v>5000</v>
      </c>
      <c r="AI11" s="109"/>
    </row>
    <row r="12" spans="2:35" x14ac:dyDescent="0.3">
      <c r="B12" s="95"/>
      <c r="C12" s="96"/>
      <c r="D12" s="96"/>
      <c r="E12" s="96"/>
      <c r="F12" s="96"/>
      <c r="G12" s="97"/>
      <c r="I12" s="95"/>
      <c r="J12" s="96"/>
      <c r="K12" s="96"/>
      <c r="L12" s="96"/>
      <c r="M12" s="96"/>
      <c r="N12" s="97"/>
      <c r="P12" s="95"/>
      <c r="Q12" s="96"/>
      <c r="R12" s="96"/>
      <c r="S12" s="96"/>
      <c r="T12" s="96"/>
      <c r="U12" s="97"/>
      <c r="W12" s="95"/>
      <c r="X12" s="96"/>
      <c r="Y12" s="96"/>
      <c r="Z12" s="96"/>
      <c r="AA12" s="96"/>
      <c r="AB12" s="97"/>
      <c r="AD12" s="95"/>
      <c r="AE12" s="96"/>
      <c r="AF12" s="96"/>
      <c r="AG12" s="96"/>
      <c r="AH12" s="96"/>
      <c r="AI12" s="97"/>
    </row>
    <row r="13" spans="2:35" x14ac:dyDescent="0.3">
      <c r="B13" s="104" t="s">
        <v>13</v>
      </c>
      <c r="C13" s="106"/>
      <c r="D13" s="104">
        <v>5</v>
      </c>
      <c r="E13" s="106"/>
      <c r="F13" s="107">
        <f>F10+F11</f>
        <v>5800</v>
      </c>
      <c r="G13" s="106"/>
      <c r="I13" s="104" t="s">
        <v>13</v>
      </c>
      <c r="J13" s="106"/>
      <c r="K13" s="104">
        <v>5</v>
      </c>
      <c r="L13" s="106"/>
      <c r="M13" s="107">
        <v>5800</v>
      </c>
      <c r="N13" s="110"/>
      <c r="P13" s="104" t="s">
        <v>13</v>
      </c>
      <c r="Q13" s="106"/>
      <c r="R13" s="104">
        <v>5</v>
      </c>
      <c r="S13" s="106"/>
      <c r="T13" s="107">
        <v>5800</v>
      </c>
      <c r="U13" s="110"/>
      <c r="W13" s="104" t="s">
        <v>13</v>
      </c>
      <c r="X13" s="106"/>
      <c r="Y13" s="104">
        <v>5</v>
      </c>
      <c r="Z13" s="106"/>
      <c r="AA13" s="107">
        <v>5800</v>
      </c>
      <c r="AB13" s="110"/>
      <c r="AD13" s="104" t="s">
        <v>13</v>
      </c>
      <c r="AE13" s="106"/>
      <c r="AF13" s="104">
        <v>6</v>
      </c>
      <c r="AG13" s="106"/>
      <c r="AH13" s="107">
        <v>5800</v>
      </c>
      <c r="AI13" s="110"/>
    </row>
    <row r="16" spans="2:35" x14ac:dyDescent="0.3">
      <c r="B16" s="98" t="s">
        <v>29</v>
      </c>
      <c r="C16" s="98"/>
      <c r="D16" s="98"/>
      <c r="E16" s="98"/>
      <c r="F16" s="98"/>
      <c r="G16" s="98"/>
      <c r="I16" s="98" t="s">
        <v>29</v>
      </c>
      <c r="J16" s="98"/>
      <c r="K16" s="98"/>
      <c r="L16" s="98"/>
      <c r="M16" s="98"/>
      <c r="N16" s="98"/>
      <c r="P16" s="98" t="s">
        <v>29</v>
      </c>
      <c r="Q16" s="98"/>
      <c r="R16" s="98"/>
      <c r="S16" s="98"/>
      <c r="T16" s="98"/>
      <c r="U16" s="98"/>
      <c r="W16" s="98" t="s">
        <v>29</v>
      </c>
      <c r="X16" s="98"/>
      <c r="Y16" s="98"/>
      <c r="Z16" s="98"/>
      <c r="AA16" s="98"/>
      <c r="AB16" s="98"/>
      <c r="AD16" s="98" t="s">
        <v>29</v>
      </c>
      <c r="AE16" s="98"/>
      <c r="AF16" s="98"/>
      <c r="AG16" s="98"/>
      <c r="AH16" s="98"/>
      <c r="AI16" s="98"/>
    </row>
    <row r="17" spans="2:35" x14ac:dyDescent="0.3">
      <c r="B17" s="95" t="s">
        <v>3</v>
      </c>
      <c r="C17" s="97"/>
      <c r="D17" s="95" t="s">
        <v>4</v>
      </c>
      <c r="E17" s="97"/>
      <c r="F17" s="95" t="s">
        <v>5</v>
      </c>
      <c r="G17" s="97"/>
      <c r="I17" s="95" t="s">
        <v>3</v>
      </c>
      <c r="J17" s="97"/>
      <c r="K17" s="95" t="s">
        <v>4</v>
      </c>
      <c r="L17" s="97"/>
      <c r="M17" s="95" t="s">
        <v>5</v>
      </c>
      <c r="N17" s="97"/>
      <c r="P17" s="95" t="s">
        <v>3</v>
      </c>
      <c r="Q17" s="97"/>
      <c r="R17" s="95" t="s">
        <v>4</v>
      </c>
      <c r="S17" s="97"/>
      <c r="T17" s="95" t="s">
        <v>5</v>
      </c>
      <c r="U17" s="97"/>
      <c r="W17" s="95" t="s">
        <v>3</v>
      </c>
      <c r="X17" s="97"/>
      <c r="Y17" s="95" t="s">
        <v>4</v>
      </c>
      <c r="Z17" s="97"/>
      <c r="AA17" s="95" t="s">
        <v>5</v>
      </c>
      <c r="AB17" s="97"/>
      <c r="AD17" s="95" t="s">
        <v>3</v>
      </c>
      <c r="AE17" s="97"/>
      <c r="AF17" s="95" t="s">
        <v>4</v>
      </c>
      <c r="AG17" s="97"/>
      <c r="AH17" s="95" t="s">
        <v>5</v>
      </c>
      <c r="AI17" s="97"/>
    </row>
    <row r="18" spans="2:35" x14ac:dyDescent="0.3">
      <c r="B18" s="95"/>
      <c r="C18" s="96"/>
      <c r="D18" s="96"/>
      <c r="E18" s="96"/>
      <c r="F18" s="96"/>
      <c r="G18" s="97"/>
      <c r="I18" s="95"/>
      <c r="J18" s="96"/>
      <c r="K18" s="96"/>
      <c r="L18" s="96"/>
      <c r="M18" s="96"/>
      <c r="N18" s="97"/>
      <c r="P18" s="95"/>
      <c r="Q18" s="96"/>
      <c r="R18" s="96"/>
      <c r="S18" s="96"/>
      <c r="T18" s="96"/>
      <c r="U18" s="97"/>
      <c r="W18" s="95"/>
      <c r="X18" s="96"/>
      <c r="Y18" s="96"/>
      <c r="Z18" s="96"/>
      <c r="AA18" s="96"/>
      <c r="AB18" s="97"/>
      <c r="AD18" s="95"/>
      <c r="AE18" s="96"/>
      <c r="AF18" s="96"/>
      <c r="AG18" s="96"/>
      <c r="AH18" s="96"/>
      <c r="AI18" s="97"/>
    </row>
    <row r="19" spans="2:35" x14ac:dyDescent="0.3">
      <c r="B19" s="94" t="s">
        <v>31</v>
      </c>
      <c r="C19" s="94"/>
      <c r="D19" s="95">
        <v>2</v>
      </c>
      <c r="E19" s="97"/>
      <c r="F19" s="103">
        <v>795</v>
      </c>
      <c r="G19" s="109"/>
      <c r="I19" s="94" t="s">
        <v>31</v>
      </c>
      <c r="J19" s="94"/>
      <c r="K19" s="95">
        <v>2</v>
      </c>
      <c r="L19" s="97"/>
      <c r="M19" s="103">
        <v>795</v>
      </c>
      <c r="N19" s="109"/>
      <c r="P19" s="94" t="s">
        <v>31</v>
      </c>
      <c r="Q19" s="94"/>
      <c r="R19" s="95">
        <v>2</v>
      </c>
      <c r="S19" s="97"/>
      <c r="T19" s="103">
        <v>795</v>
      </c>
      <c r="U19" s="109"/>
      <c r="W19" s="94" t="s">
        <v>31</v>
      </c>
      <c r="X19" s="94"/>
      <c r="Y19" s="95">
        <v>2</v>
      </c>
      <c r="Z19" s="97"/>
      <c r="AA19" s="103">
        <v>795</v>
      </c>
      <c r="AB19" s="109"/>
      <c r="AD19" s="94" t="s">
        <v>31</v>
      </c>
      <c r="AE19" s="94"/>
      <c r="AF19" s="95">
        <v>2</v>
      </c>
      <c r="AG19" s="97"/>
      <c r="AH19" s="103">
        <v>795</v>
      </c>
      <c r="AI19" s="109"/>
    </row>
    <row r="20" spans="2:35" x14ac:dyDescent="0.3">
      <c r="B20" s="95" t="s">
        <v>30</v>
      </c>
      <c r="C20" s="97"/>
      <c r="D20" s="95">
        <v>1</v>
      </c>
      <c r="E20" s="97"/>
      <c r="F20" s="103">
        <v>1000</v>
      </c>
      <c r="G20" s="109"/>
      <c r="I20" s="95" t="s">
        <v>30</v>
      </c>
      <c r="J20" s="97"/>
      <c r="K20" s="95">
        <v>1</v>
      </c>
      <c r="L20" s="97"/>
      <c r="M20" s="103">
        <v>1000</v>
      </c>
      <c r="N20" s="109"/>
      <c r="P20" s="95" t="s">
        <v>30</v>
      </c>
      <c r="Q20" s="97"/>
      <c r="R20" s="95">
        <v>1</v>
      </c>
      <c r="S20" s="97"/>
      <c r="T20" s="103">
        <v>1000</v>
      </c>
      <c r="U20" s="109"/>
      <c r="W20" s="95" t="s">
        <v>30</v>
      </c>
      <c r="X20" s="97"/>
      <c r="Y20" s="95">
        <v>1</v>
      </c>
      <c r="Z20" s="97"/>
      <c r="AA20" s="103">
        <v>1000</v>
      </c>
      <c r="AB20" s="109"/>
      <c r="AD20" s="95" t="s">
        <v>30</v>
      </c>
      <c r="AE20" s="97"/>
      <c r="AF20" s="95">
        <v>1</v>
      </c>
      <c r="AG20" s="97"/>
      <c r="AH20" s="103">
        <v>1000</v>
      </c>
      <c r="AI20" s="109"/>
    </row>
    <row r="21" spans="2:35" x14ac:dyDescent="0.3">
      <c r="B21" s="95" t="s">
        <v>27</v>
      </c>
      <c r="C21" s="97"/>
      <c r="D21" s="95">
        <v>1</v>
      </c>
      <c r="E21" s="97"/>
      <c r="F21" s="103">
        <v>5000</v>
      </c>
      <c r="G21" s="109"/>
      <c r="I21" s="95" t="s">
        <v>27</v>
      </c>
      <c r="J21" s="97"/>
      <c r="K21" s="95">
        <v>1</v>
      </c>
      <c r="L21" s="97"/>
      <c r="M21" s="103">
        <v>5000</v>
      </c>
      <c r="N21" s="109"/>
      <c r="P21" s="95" t="s">
        <v>27</v>
      </c>
      <c r="Q21" s="97"/>
      <c r="R21" s="95">
        <v>1</v>
      </c>
      <c r="S21" s="97"/>
      <c r="T21" s="103">
        <v>5000</v>
      </c>
      <c r="U21" s="109"/>
      <c r="W21" s="95" t="s">
        <v>27</v>
      </c>
      <c r="X21" s="97"/>
      <c r="Y21" s="95">
        <v>1</v>
      </c>
      <c r="Z21" s="97"/>
      <c r="AA21" s="103">
        <v>5000</v>
      </c>
      <c r="AB21" s="109"/>
      <c r="AD21" s="95" t="s">
        <v>27</v>
      </c>
      <c r="AE21" s="97"/>
      <c r="AF21" s="95">
        <v>1</v>
      </c>
      <c r="AG21" s="97"/>
      <c r="AH21" s="103">
        <v>5000</v>
      </c>
      <c r="AI21" s="109"/>
    </row>
    <row r="22" spans="2:35" x14ac:dyDescent="0.3">
      <c r="B22" s="95" t="s">
        <v>26</v>
      </c>
      <c r="C22" s="97"/>
      <c r="D22" s="95">
        <v>3</v>
      </c>
      <c r="E22" s="97"/>
      <c r="F22" s="103">
        <v>6000</v>
      </c>
      <c r="G22" s="109"/>
      <c r="I22" s="95" t="s">
        <v>26</v>
      </c>
      <c r="J22" s="97"/>
      <c r="K22" s="95">
        <v>3</v>
      </c>
      <c r="L22" s="97"/>
      <c r="M22" s="103">
        <f>(F22)+(F22*0.07)</f>
        <v>6420</v>
      </c>
      <c r="N22" s="109"/>
      <c r="P22" s="95" t="s">
        <v>26</v>
      </c>
      <c r="Q22" s="97"/>
      <c r="R22" s="95">
        <v>3</v>
      </c>
      <c r="S22" s="97"/>
      <c r="T22" s="103">
        <f>M22+(M22*0.07)</f>
        <v>6869.4</v>
      </c>
      <c r="U22" s="109"/>
      <c r="W22" s="95" t="s">
        <v>26</v>
      </c>
      <c r="X22" s="97"/>
      <c r="Y22" s="95">
        <v>3</v>
      </c>
      <c r="Z22" s="97"/>
      <c r="AA22" s="103">
        <f>T22+(T22*0.07)</f>
        <v>7350.2579999999998</v>
      </c>
      <c r="AB22" s="109"/>
      <c r="AD22" s="95" t="s">
        <v>26</v>
      </c>
      <c r="AE22" s="97"/>
      <c r="AF22" s="95">
        <v>3</v>
      </c>
      <c r="AG22" s="97"/>
      <c r="AH22" s="103">
        <f>AA22+(AA22*0.07)</f>
        <v>7864.7760600000001</v>
      </c>
      <c r="AI22" s="109"/>
    </row>
    <row r="23" spans="2:35" x14ac:dyDescent="0.3">
      <c r="B23" s="95" t="s">
        <v>32</v>
      </c>
      <c r="C23" s="97"/>
      <c r="D23" s="95">
        <v>1</v>
      </c>
      <c r="E23" s="97"/>
      <c r="F23" s="103">
        <v>5000</v>
      </c>
      <c r="G23" s="109"/>
      <c r="I23" s="95" t="s">
        <v>32</v>
      </c>
      <c r="J23" s="97"/>
      <c r="K23" s="95">
        <v>1</v>
      </c>
      <c r="L23" s="97"/>
      <c r="M23" s="103">
        <f>(F23)+(F23*0.07)</f>
        <v>5350</v>
      </c>
      <c r="N23" s="109"/>
      <c r="P23" s="95" t="s">
        <v>32</v>
      </c>
      <c r="Q23" s="97"/>
      <c r="R23" s="95">
        <v>1</v>
      </c>
      <c r="S23" s="97"/>
      <c r="T23" s="103">
        <f>M23+(M23*0.07)</f>
        <v>5724.5</v>
      </c>
      <c r="U23" s="109"/>
      <c r="W23" s="95" t="s">
        <v>32</v>
      </c>
      <c r="X23" s="97"/>
      <c r="Y23" s="95">
        <v>1</v>
      </c>
      <c r="Z23" s="97"/>
      <c r="AA23" s="103">
        <f>T23+(T23*0.07)</f>
        <v>6125.2150000000001</v>
      </c>
      <c r="AB23" s="109"/>
      <c r="AD23" s="95" t="s">
        <v>32</v>
      </c>
      <c r="AE23" s="97"/>
      <c r="AF23" s="95">
        <v>1</v>
      </c>
      <c r="AG23" s="97"/>
      <c r="AH23" s="103">
        <f>AA23+(AA23*0.07)</f>
        <v>6553.9800500000001</v>
      </c>
      <c r="AI23" s="109"/>
    </row>
    <row r="24" spans="2:35" x14ac:dyDescent="0.3">
      <c r="B24" s="95"/>
      <c r="C24" s="96"/>
      <c r="D24" s="96"/>
      <c r="E24" s="96"/>
      <c r="F24" s="96"/>
      <c r="G24" s="97"/>
      <c r="I24" s="95"/>
      <c r="J24" s="96"/>
      <c r="K24" s="96"/>
      <c r="L24" s="96"/>
      <c r="M24" s="96"/>
      <c r="N24" s="97"/>
      <c r="P24" s="95"/>
      <c r="Q24" s="96"/>
      <c r="R24" s="96"/>
      <c r="S24" s="96"/>
      <c r="T24" s="96"/>
      <c r="U24" s="97"/>
      <c r="W24" s="95"/>
      <c r="X24" s="96"/>
      <c r="Y24" s="96"/>
      <c r="Z24" s="96"/>
      <c r="AA24" s="96"/>
      <c r="AB24" s="97"/>
      <c r="AD24" s="95"/>
      <c r="AE24" s="96"/>
      <c r="AF24" s="96"/>
      <c r="AG24" s="96"/>
      <c r="AH24" s="96"/>
      <c r="AI24" s="97"/>
    </row>
    <row r="25" spans="2:35" x14ac:dyDescent="0.3">
      <c r="B25" s="104" t="s">
        <v>13</v>
      </c>
      <c r="C25" s="106"/>
      <c r="D25" s="104">
        <v>8</v>
      </c>
      <c r="E25" s="106"/>
      <c r="F25" s="107">
        <f>F19+F20+F21+F22+F23</f>
        <v>17795</v>
      </c>
      <c r="G25" s="106"/>
      <c r="I25" s="104" t="s">
        <v>13</v>
      </c>
      <c r="J25" s="106"/>
      <c r="K25" s="104">
        <v>8</v>
      </c>
      <c r="L25" s="106"/>
      <c r="M25" s="107">
        <f>M19+M20+M21+M22+M23</f>
        <v>18565</v>
      </c>
      <c r="N25" s="106"/>
      <c r="P25" s="104" t="s">
        <v>13</v>
      </c>
      <c r="Q25" s="106"/>
      <c r="R25" s="104">
        <v>8</v>
      </c>
      <c r="S25" s="106"/>
      <c r="T25" s="107">
        <f>T19+T20+T21+T22+T23</f>
        <v>19388.900000000001</v>
      </c>
      <c r="U25" s="106"/>
      <c r="W25" s="104" t="s">
        <v>13</v>
      </c>
      <c r="X25" s="106"/>
      <c r="Y25" s="104">
        <v>8</v>
      </c>
      <c r="Z25" s="106"/>
      <c r="AA25" s="107">
        <f>AA19+AA20+AA21+AA22+AA23</f>
        <v>20270.472999999998</v>
      </c>
      <c r="AB25" s="106"/>
      <c r="AD25" s="104" t="s">
        <v>13</v>
      </c>
      <c r="AE25" s="106"/>
      <c r="AF25" s="104">
        <v>8</v>
      </c>
      <c r="AG25" s="106"/>
      <c r="AH25" s="107">
        <f>AH19+AH20+AH21+AH22+AH23</f>
        <v>21213.756110000002</v>
      </c>
      <c r="AI25" s="106"/>
    </row>
    <row r="28" spans="2:35" x14ac:dyDescent="0.3">
      <c r="B28" s="98" t="s">
        <v>33</v>
      </c>
      <c r="C28" s="98"/>
      <c r="D28" s="98"/>
      <c r="E28" s="98"/>
      <c r="F28" s="98"/>
      <c r="G28" s="98"/>
      <c r="I28" s="98" t="s">
        <v>33</v>
      </c>
      <c r="J28" s="98"/>
      <c r="K28" s="98"/>
      <c r="L28" s="98"/>
      <c r="M28" s="98"/>
      <c r="N28" s="98"/>
      <c r="P28" s="98" t="s">
        <v>33</v>
      </c>
      <c r="Q28" s="98"/>
      <c r="R28" s="98"/>
      <c r="S28" s="98"/>
      <c r="T28" s="98"/>
      <c r="U28" s="98"/>
      <c r="W28" s="98" t="s">
        <v>33</v>
      </c>
      <c r="X28" s="98"/>
      <c r="Y28" s="98"/>
      <c r="Z28" s="98"/>
      <c r="AA28" s="98"/>
      <c r="AB28" s="98"/>
      <c r="AD28" s="98" t="s">
        <v>33</v>
      </c>
      <c r="AE28" s="98"/>
      <c r="AF28" s="98"/>
      <c r="AG28" s="98"/>
      <c r="AH28" s="98"/>
      <c r="AI28" s="98"/>
    </row>
    <row r="29" spans="2:35" x14ac:dyDescent="0.3">
      <c r="B29" s="95" t="s">
        <v>3</v>
      </c>
      <c r="C29" s="97"/>
      <c r="D29" s="95" t="s">
        <v>42</v>
      </c>
      <c r="E29" s="97"/>
      <c r="F29" s="95" t="s">
        <v>43</v>
      </c>
      <c r="G29" s="97"/>
      <c r="I29" s="95" t="s">
        <v>3</v>
      </c>
      <c r="J29" s="97"/>
      <c r="K29" s="95" t="s">
        <v>42</v>
      </c>
      <c r="L29" s="97"/>
      <c r="M29" s="95" t="s">
        <v>43</v>
      </c>
      <c r="N29" s="97"/>
      <c r="P29" s="95" t="s">
        <v>3</v>
      </c>
      <c r="Q29" s="97"/>
      <c r="R29" s="95" t="s">
        <v>42</v>
      </c>
      <c r="S29" s="97"/>
      <c r="T29" s="95" t="s">
        <v>43</v>
      </c>
      <c r="U29" s="97"/>
      <c r="W29" s="95" t="s">
        <v>3</v>
      </c>
      <c r="X29" s="97"/>
      <c r="Y29" s="95" t="s">
        <v>42</v>
      </c>
      <c r="Z29" s="97"/>
      <c r="AA29" s="95" t="s">
        <v>43</v>
      </c>
      <c r="AB29" s="97"/>
      <c r="AD29" s="95" t="s">
        <v>3</v>
      </c>
      <c r="AE29" s="97"/>
      <c r="AF29" s="95" t="s">
        <v>42</v>
      </c>
      <c r="AG29" s="97"/>
      <c r="AH29" s="95" t="s">
        <v>43</v>
      </c>
      <c r="AI29" s="97"/>
    </row>
    <row r="30" spans="2:35" x14ac:dyDescent="0.3">
      <c r="B30" s="95"/>
      <c r="C30" s="96"/>
      <c r="D30" s="96"/>
      <c r="E30" s="96"/>
      <c r="F30" s="96"/>
      <c r="G30" s="97"/>
      <c r="I30" s="95"/>
      <c r="J30" s="96"/>
      <c r="K30" s="96"/>
      <c r="L30" s="96"/>
      <c r="M30" s="96"/>
      <c r="N30" s="97"/>
      <c r="P30" s="95"/>
      <c r="Q30" s="96"/>
      <c r="R30" s="96"/>
      <c r="S30" s="96"/>
      <c r="T30" s="96"/>
      <c r="U30" s="97"/>
      <c r="W30" s="95"/>
      <c r="X30" s="96"/>
      <c r="Y30" s="96"/>
      <c r="Z30" s="96"/>
      <c r="AA30" s="96"/>
      <c r="AB30" s="97"/>
      <c r="AD30" s="95"/>
      <c r="AE30" s="96"/>
      <c r="AF30" s="96"/>
      <c r="AG30" s="96"/>
      <c r="AH30" s="96"/>
      <c r="AI30" s="97"/>
    </row>
    <row r="31" spans="2:35" x14ac:dyDescent="0.3">
      <c r="B31" s="95" t="s">
        <v>34</v>
      </c>
      <c r="C31" s="96"/>
      <c r="D31" s="108">
        <v>0</v>
      </c>
      <c r="E31" s="108"/>
      <c r="F31" s="103">
        <v>15000</v>
      </c>
      <c r="G31" s="109"/>
      <c r="I31" s="95" t="s">
        <v>34</v>
      </c>
      <c r="J31" s="96"/>
      <c r="K31" s="108">
        <v>0</v>
      </c>
      <c r="L31" s="108"/>
      <c r="M31" s="103">
        <v>15000</v>
      </c>
      <c r="N31" s="109"/>
      <c r="P31" s="95" t="s">
        <v>34</v>
      </c>
      <c r="Q31" s="96"/>
      <c r="R31" s="108">
        <v>0</v>
      </c>
      <c r="S31" s="108"/>
      <c r="T31" s="103">
        <v>18000</v>
      </c>
      <c r="U31" s="109"/>
      <c r="W31" s="95" t="s">
        <v>34</v>
      </c>
      <c r="X31" s="96"/>
      <c r="Y31" s="108">
        <v>0</v>
      </c>
      <c r="Z31" s="108"/>
      <c r="AA31" s="103">
        <v>23000</v>
      </c>
      <c r="AB31" s="109"/>
      <c r="AD31" s="95" t="s">
        <v>34</v>
      </c>
      <c r="AE31" s="96"/>
      <c r="AF31" s="108">
        <v>0</v>
      </c>
      <c r="AG31" s="108"/>
      <c r="AH31" s="103">
        <v>28000</v>
      </c>
      <c r="AI31" s="109"/>
    </row>
    <row r="32" spans="2:35" x14ac:dyDescent="0.3">
      <c r="B32" s="95" t="s">
        <v>35</v>
      </c>
      <c r="C32" s="96"/>
      <c r="D32" s="108">
        <v>500</v>
      </c>
      <c r="E32" s="108"/>
      <c r="F32" s="103">
        <v>10000</v>
      </c>
      <c r="G32" s="109"/>
      <c r="I32" s="95" t="s">
        <v>35</v>
      </c>
      <c r="J32" s="96"/>
      <c r="K32" s="108">
        <v>500</v>
      </c>
      <c r="L32" s="108"/>
      <c r="M32" s="103">
        <v>10000</v>
      </c>
      <c r="N32" s="109"/>
      <c r="P32" s="95" t="s">
        <v>35</v>
      </c>
      <c r="Q32" s="96"/>
      <c r="R32" s="108">
        <v>600</v>
      </c>
      <c r="S32" s="108"/>
      <c r="T32" s="103">
        <v>15000</v>
      </c>
      <c r="U32" s="109"/>
      <c r="W32" s="95" t="s">
        <v>35</v>
      </c>
      <c r="X32" s="96"/>
      <c r="Y32" s="108">
        <v>800</v>
      </c>
      <c r="Z32" s="108"/>
      <c r="AA32" s="103">
        <v>18000</v>
      </c>
      <c r="AB32" s="109"/>
      <c r="AD32" s="95" t="s">
        <v>35</v>
      </c>
      <c r="AE32" s="96"/>
      <c r="AF32" s="108">
        <v>1000</v>
      </c>
      <c r="AG32" s="108"/>
      <c r="AH32" s="103">
        <v>20000</v>
      </c>
      <c r="AI32" s="109"/>
    </row>
    <row r="33" spans="2:35" x14ac:dyDescent="0.3">
      <c r="B33" s="95" t="s">
        <v>36</v>
      </c>
      <c r="C33" s="96"/>
      <c r="D33" s="108">
        <v>400</v>
      </c>
      <c r="E33" s="108"/>
      <c r="F33" s="103">
        <v>5000</v>
      </c>
      <c r="G33" s="109"/>
      <c r="I33" s="95" t="s">
        <v>36</v>
      </c>
      <c r="J33" s="96"/>
      <c r="K33" s="108">
        <v>400</v>
      </c>
      <c r="L33" s="108"/>
      <c r="M33" s="103">
        <v>5000</v>
      </c>
      <c r="N33" s="109"/>
      <c r="P33" s="95" t="s">
        <v>36</v>
      </c>
      <c r="Q33" s="96"/>
      <c r="R33" s="108">
        <v>450</v>
      </c>
      <c r="S33" s="108"/>
      <c r="T33" s="103">
        <v>10000</v>
      </c>
      <c r="U33" s="109"/>
      <c r="W33" s="95" t="s">
        <v>36</v>
      </c>
      <c r="X33" s="96"/>
      <c r="Y33" s="108">
        <v>600</v>
      </c>
      <c r="Z33" s="108"/>
      <c r="AA33" s="103">
        <v>12000</v>
      </c>
      <c r="AB33" s="109"/>
      <c r="AD33" s="95" t="s">
        <v>36</v>
      </c>
      <c r="AE33" s="96"/>
      <c r="AF33" s="108">
        <v>800</v>
      </c>
      <c r="AG33" s="108"/>
      <c r="AH33" s="103">
        <v>15000</v>
      </c>
      <c r="AI33" s="109"/>
    </row>
    <row r="34" spans="2:35" x14ac:dyDescent="0.3">
      <c r="B34" s="95" t="s">
        <v>37</v>
      </c>
      <c r="C34" s="96"/>
      <c r="D34" s="108">
        <v>350</v>
      </c>
      <c r="E34" s="108"/>
      <c r="F34" s="103">
        <v>4500</v>
      </c>
      <c r="G34" s="109"/>
      <c r="I34" s="95" t="s">
        <v>37</v>
      </c>
      <c r="J34" s="96"/>
      <c r="K34" s="108">
        <v>350</v>
      </c>
      <c r="L34" s="108"/>
      <c r="M34" s="103">
        <v>4500</v>
      </c>
      <c r="N34" s="109"/>
      <c r="P34" s="95" t="s">
        <v>37</v>
      </c>
      <c r="Q34" s="96"/>
      <c r="R34" s="108">
        <v>380</v>
      </c>
      <c r="S34" s="108"/>
      <c r="T34" s="103">
        <v>7000</v>
      </c>
      <c r="U34" s="109"/>
      <c r="W34" s="95" t="s">
        <v>37</v>
      </c>
      <c r="X34" s="96"/>
      <c r="Y34" s="108">
        <v>500</v>
      </c>
      <c r="Z34" s="108"/>
      <c r="AA34" s="103">
        <v>8000</v>
      </c>
      <c r="AB34" s="109"/>
      <c r="AD34" s="95" t="s">
        <v>37</v>
      </c>
      <c r="AE34" s="96"/>
      <c r="AF34" s="108">
        <v>700</v>
      </c>
      <c r="AG34" s="108"/>
      <c r="AH34" s="103">
        <v>12000</v>
      </c>
      <c r="AI34" s="109"/>
    </row>
    <row r="35" spans="2:35" x14ac:dyDescent="0.3">
      <c r="B35" s="95" t="s">
        <v>27</v>
      </c>
      <c r="C35" s="97"/>
      <c r="D35" s="108">
        <v>350</v>
      </c>
      <c r="E35" s="108"/>
      <c r="F35" s="103">
        <v>4500</v>
      </c>
      <c r="G35" s="109"/>
      <c r="I35" s="95" t="s">
        <v>27</v>
      </c>
      <c r="J35" s="97"/>
      <c r="K35" s="108">
        <v>350</v>
      </c>
      <c r="L35" s="108"/>
      <c r="M35" s="103">
        <v>4500</v>
      </c>
      <c r="N35" s="109"/>
      <c r="P35" s="95" t="s">
        <v>27</v>
      </c>
      <c r="Q35" s="97"/>
      <c r="R35" s="108">
        <v>350</v>
      </c>
      <c r="S35" s="108"/>
      <c r="T35" s="103">
        <v>6000</v>
      </c>
      <c r="U35" s="109"/>
      <c r="W35" s="95" t="s">
        <v>27</v>
      </c>
      <c r="X35" s="97"/>
      <c r="Y35" s="108">
        <v>450</v>
      </c>
      <c r="Z35" s="108"/>
      <c r="AA35" s="103">
        <v>7000</v>
      </c>
      <c r="AB35" s="109"/>
      <c r="AD35" s="95" t="s">
        <v>27</v>
      </c>
      <c r="AE35" s="97"/>
      <c r="AF35" s="108">
        <v>600</v>
      </c>
      <c r="AG35" s="108"/>
      <c r="AH35" s="103">
        <v>10000</v>
      </c>
      <c r="AI35" s="109"/>
    </row>
    <row r="36" spans="2:35" x14ac:dyDescent="0.3">
      <c r="B36" s="95" t="s">
        <v>38</v>
      </c>
      <c r="C36" s="97"/>
      <c r="D36" s="108">
        <v>300</v>
      </c>
      <c r="E36" s="108"/>
      <c r="F36" s="103">
        <v>3300</v>
      </c>
      <c r="G36" s="109"/>
      <c r="I36" s="95" t="s">
        <v>38</v>
      </c>
      <c r="J36" s="97"/>
      <c r="K36" s="108">
        <v>300</v>
      </c>
      <c r="L36" s="108"/>
      <c r="M36" s="103">
        <v>3300</v>
      </c>
      <c r="N36" s="109"/>
      <c r="P36" s="95" t="s">
        <v>38</v>
      </c>
      <c r="Q36" s="97"/>
      <c r="R36" s="108">
        <v>300</v>
      </c>
      <c r="S36" s="108"/>
      <c r="T36" s="103">
        <v>5000</v>
      </c>
      <c r="U36" s="109"/>
      <c r="W36" s="95" t="s">
        <v>38</v>
      </c>
      <c r="X36" s="97"/>
      <c r="Y36" s="108">
        <v>380</v>
      </c>
      <c r="Z36" s="108"/>
      <c r="AA36" s="103">
        <v>6200</v>
      </c>
      <c r="AB36" s="109"/>
      <c r="AD36" s="95" t="s">
        <v>38</v>
      </c>
      <c r="AE36" s="97"/>
      <c r="AF36" s="108">
        <v>550</v>
      </c>
      <c r="AG36" s="108"/>
      <c r="AH36" s="103">
        <v>8500</v>
      </c>
      <c r="AI36" s="109"/>
    </row>
    <row r="37" spans="2:35" x14ac:dyDescent="0.3">
      <c r="B37" s="95" t="s">
        <v>39</v>
      </c>
      <c r="C37" s="97"/>
      <c r="D37" s="103">
        <v>300</v>
      </c>
      <c r="E37" s="109"/>
      <c r="F37" s="103">
        <v>3300</v>
      </c>
      <c r="G37" s="109"/>
      <c r="I37" s="95" t="s">
        <v>39</v>
      </c>
      <c r="J37" s="97"/>
      <c r="K37" s="103">
        <v>300</v>
      </c>
      <c r="L37" s="109"/>
      <c r="M37" s="103">
        <v>3300</v>
      </c>
      <c r="N37" s="109"/>
      <c r="P37" s="95" t="s">
        <v>39</v>
      </c>
      <c r="Q37" s="97"/>
      <c r="R37" s="103">
        <v>300</v>
      </c>
      <c r="S37" s="109"/>
      <c r="T37" s="103">
        <v>5000</v>
      </c>
      <c r="U37" s="109"/>
      <c r="W37" s="95" t="s">
        <v>39</v>
      </c>
      <c r="X37" s="97"/>
      <c r="Y37" s="103">
        <v>380</v>
      </c>
      <c r="Z37" s="109"/>
      <c r="AA37" s="103">
        <v>6200</v>
      </c>
      <c r="AB37" s="109"/>
      <c r="AD37" s="95" t="s">
        <v>39</v>
      </c>
      <c r="AE37" s="97"/>
      <c r="AF37" s="103">
        <v>550</v>
      </c>
      <c r="AG37" s="109"/>
      <c r="AH37" s="103">
        <v>8500</v>
      </c>
      <c r="AI37" s="109"/>
    </row>
    <row r="38" spans="2:35" x14ac:dyDescent="0.3">
      <c r="B38" s="95" t="s">
        <v>40</v>
      </c>
      <c r="C38" s="97"/>
      <c r="D38" s="108">
        <v>300</v>
      </c>
      <c r="E38" s="108"/>
      <c r="F38" s="103">
        <v>3300</v>
      </c>
      <c r="G38" s="109"/>
      <c r="I38" s="95" t="s">
        <v>40</v>
      </c>
      <c r="J38" s="97"/>
      <c r="K38" s="108">
        <v>300</v>
      </c>
      <c r="L38" s="108"/>
      <c r="M38" s="103">
        <v>3300</v>
      </c>
      <c r="N38" s="109"/>
      <c r="P38" s="95" t="s">
        <v>40</v>
      </c>
      <c r="Q38" s="97"/>
      <c r="R38" s="108">
        <v>300</v>
      </c>
      <c r="S38" s="108"/>
      <c r="T38" s="103">
        <v>5000</v>
      </c>
      <c r="U38" s="109"/>
      <c r="W38" s="95" t="s">
        <v>40</v>
      </c>
      <c r="X38" s="97"/>
      <c r="Y38" s="108">
        <v>380</v>
      </c>
      <c r="Z38" s="108"/>
      <c r="AA38" s="103">
        <v>6200</v>
      </c>
      <c r="AB38" s="109"/>
      <c r="AD38" s="95" t="s">
        <v>40</v>
      </c>
      <c r="AE38" s="97"/>
      <c r="AF38" s="108">
        <v>550</v>
      </c>
      <c r="AG38" s="108"/>
      <c r="AH38" s="103">
        <v>8500</v>
      </c>
      <c r="AI38" s="109"/>
    </row>
    <row r="39" spans="2:35" x14ac:dyDescent="0.3">
      <c r="B39" s="95" t="s">
        <v>41</v>
      </c>
      <c r="C39" s="97"/>
      <c r="D39" s="108">
        <v>300</v>
      </c>
      <c r="E39" s="108"/>
      <c r="F39" s="103">
        <v>3300</v>
      </c>
      <c r="G39" s="109"/>
      <c r="I39" s="95" t="s">
        <v>41</v>
      </c>
      <c r="J39" s="97"/>
      <c r="K39" s="108">
        <v>300</v>
      </c>
      <c r="L39" s="108"/>
      <c r="M39" s="103">
        <v>3300</v>
      </c>
      <c r="N39" s="109"/>
      <c r="P39" s="95" t="s">
        <v>41</v>
      </c>
      <c r="Q39" s="97"/>
      <c r="R39" s="108">
        <v>300</v>
      </c>
      <c r="S39" s="108"/>
      <c r="T39" s="103">
        <v>5000</v>
      </c>
      <c r="U39" s="109"/>
      <c r="W39" s="95" t="s">
        <v>41</v>
      </c>
      <c r="X39" s="97"/>
      <c r="Y39" s="108">
        <v>380</v>
      </c>
      <c r="Z39" s="108"/>
      <c r="AA39" s="103">
        <v>6200</v>
      </c>
      <c r="AB39" s="109"/>
      <c r="AD39" s="95" t="s">
        <v>41</v>
      </c>
      <c r="AE39" s="97"/>
      <c r="AF39" s="108">
        <v>550</v>
      </c>
      <c r="AG39" s="108"/>
      <c r="AH39" s="103">
        <v>7000</v>
      </c>
      <c r="AI39" s="109"/>
    </row>
    <row r="40" spans="2:35" x14ac:dyDescent="0.3">
      <c r="B40" s="95"/>
      <c r="C40" s="96"/>
      <c r="D40" s="96"/>
      <c r="E40" s="96"/>
      <c r="F40" s="96"/>
      <c r="G40" s="97"/>
      <c r="I40" s="95"/>
      <c r="J40" s="96"/>
      <c r="K40" s="96"/>
      <c r="L40" s="96"/>
      <c r="M40" s="96"/>
      <c r="N40" s="97"/>
      <c r="P40" s="95"/>
      <c r="Q40" s="96"/>
      <c r="R40" s="96"/>
      <c r="S40" s="96"/>
      <c r="T40" s="96"/>
      <c r="U40" s="97"/>
      <c r="W40" s="95"/>
      <c r="X40" s="96"/>
      <c r="Y40" s="96"/>
      <c r="Z40" s="96"/>
      <c r="AA40" s="96"/>
      <c r="AB40" s="97"/>
      <c r="AD40" s="95"/>
      <c r="AE40" s="96"/>
      <c r="AF40" s="96"/>
      <c r="AG40" s="96"/>
      <c r="AH40" s="96"/>
      <c r="AI40" s="97"/>
    </row>
    <row r="41" spans="2:35" x14ac:dyDescent="0.3">
      <c r="B41" s="104" t="s">
        <v>20</v>
      </c>
      <c r="C41" s="106"/>
      <c r="D41" s="107">
        <f>D31+D32+D33+D34+D35+D36+D37+D38+D39</f>
        <v>2800</v>
      </c>
      <c r="E41" s="106"/>
      <c r="F41" s="107">
        <f>F31+F32+F33+F34+F35+F36+F37+F38+F39</f>
        <v>52200</v>
      </c>
      <c r="G41" s="106"/>
      <c r="I41" s="104" t="s">
        <v>20</v>
      </c>
      <c r="J41" s="106"/>
      <c r="K41" s="107">
        <f>K31+K32+K33+K34+K35+K36+K37+K38+K39</f>
        <v>2800</v>
      </c>
      <c r="L41" s="106"/>
      <c r="M41" s="107">
        <f>M31+M32+M33+M34+M35+M36+M37+M38+M39</f>
        <v>52200</v>
      </c>
      <c r="N41" s="106"/>
      <c r="P41" s="104" t="s">
        <v>20</v>
      </c>
      <c r="Q41" s="106"/>
      <c r="R41" s="107">
        <f>R31+R32+R33+R34+R35+R36+R37+R38+R39</f>
        <v>2980</v>
      </c>
      <c r="S41" s="106"/>
      <c r="T41" s="107">
        <f>T31+T32+T33+T34+T35+T36+T37+T38+T39</f>
        <v>76000</v>
      </c>
      <c r="U41" s="106"/>
      <c r="W41" s="104" t="s">
        <v>20</v>
      </c>
      <c r="X41" s="106"/>
      <c r="Y41" s="107">
        <f>Y31+Y32+Y33+Y34+Y35+Y36+Y37+Y38+Y39</f>
        <v>3870</v>
      </c>
      <c r="Z41" s="106"/>
      <c r="AA41" s="107">
        <f>AA31+AA32+AA33+AA34+AA35+AA36+AA37+AA38+AA39</f>
        <v>92800</v>
      </c>
      <c r="AB41" s="106"/>
      <c r="AD41" s="104" t="s">
        <v>20</v>
      </c>
      <c r="AE41" s="106"/>
      <c r="AF41" s="107">
        <f>AF31+AF32+AF33+AF34+AF35+AF36+AF37+AF38+AF39</f>
        <v>5300</v>
      </c>
      <c r="AG41" s="106"/>
      <c r="AH41" s="107">
        <f>AH31+AH32+AH33+AH34+AH35+AH36+AH37+AH38+AH39</f>
        <v>117500</v>
      </c>
      <c r="AI41" s="106"/>
    </row>
    <row r="44" spans="2:35" x14ac:dyDescent="0.3">
      <c r="B44" s="91" t="s">
        <v>20</v>
      </c>
      <c r="C44" s="91"/>
      <c r="D44" s="91"/>
      <c r="E44" s="91"/>
      <c r="F44" s="91"/>
      <c r="G44" s="91"/>
      <c r="I44" s="91" t="s">
        <v>20</v>
      </c>
      <c r="J44" s="91"/>
      <c r="K44" s="91"/>
      <c r="L44" s="91"/>
      <c r="M44" s="91"/>
      <c r="N44" s="91"/>
      <c r="P44" s="91" t="s">
        <v>20</v>
      </c>
      <c r="Q44" s="91"/>
      <c r="R44" s="91"/>
      <c r="S44" s="91"/>
      <c r="T44" s="91"/>
      <c r="U44" s="91"/>
      <c r="W44" s="91" t="s">
        <v>20</v>
      </c>
      <c r="X44" s="91"/>
      <c r="Y44" s="91"/>
      <c r="Z44" s="91"/>
      <c r="AA44" s="91"/>
      <c r="AB44" s="91"/>
      <c r="AD44" s="91" t="s">
        <v>20</v>
      </c>
      <c r="AE44" s="91"/>
      <c r="AF44" s="91"/>
      <c r="AG44" s="91"/>
      <c r="AH44" s="91"/>
      <c r="AI44" s="91"/>
    </row>
    <row r="45" spans="2:35" x14ac:dyDescent="0.3">
      <c r="B45" s="95" t="s">
        <v>3</v>
      </c>
      <c r="C45" s="96"/>
      <c r="D45" s="97"/>
      <c r="E45" s="95" t="s">
        <v>5</v>
      </c>
      <c r="F45" s="96"/>
      <c r="G45" s="97"/>
      <c r="I45" s="95" t="s">
        <v>3</v>
      </c>
      <c r="J45" s="96"/>
      <c r="K45" s="97"/>
      <c r="L45" s="95" t="s">
        <v>5</v>
      </c>
      <c r="M45" s="96"/>
      <c r="N45" s="97"/>
      <c r="P45" s="95" t="s">
        <v>3</v>
      </c>
      <c r="Q45" s="96"/>
      <c r="R45" s="97"/>
      <c r="S45" s="95" t="s">
        <v>5</v>
      </c>
      <c r="T45" s="96"/>
      <c r="U45" s="97"/>
      <c r="W45" s="95" t="s">
        <v>3</v>
      </c>
      <c r="X45" s="96"/>
      <c r="Y45" s="97"/>
      <c r="Z45" s="95" t="s">
        <v>5</v>
      </c>
      <c r="AA45" s="96"/>
      <c r="AB45" s="97"/>
      <c r="AD45" s="95" t="s">
        <v>3</v>
      </c>
      <c r="AE45" s="96"/>
      <c r="AF45" s="97"/>
      <c r="AG45" s="95" t="s">
        <v>5</v>
      </c>
      <c r="AH45" s="96"/>
      <c r="AI45" s="97"/>
    </row>
    <row r="46" spans="2:35" x14ac:dyDescent="0.3">
      <c r="B46" s="95" t="s">
        <v>44</v>
      </c>
      <c r="C46" s="96"/>
      <c r="D46" s="97"/>
      <c r="E46" s="103">
        <f>SUM(F13,F25,F41,D41)</f>
        <v>78595</v>
      </c>
      <c r="F46" s="96"/>
      <c r="G46" s="97"/>
      <c r="I46" s="95" t="s">
        <v>44</v>
      </c>
      <c r="J46" s="96"/>
      <c r="K46" s="97"/>
      <c r="L46" s="103">
        <f>SUM(M41+K41+M25+F13)</f>
        <v>79365</v>
      </c>
      <c r="M46" s="96"/>
      <c r="N46" s="97"/>
      <c r="P46" s="95" t="s">
        <v>44</v>
      </c>
      <c r="Q46" s="96"/>
      <c r="R46" s="97"/>
      <c r="S46" s="103">
        <f>SUM(T41+R41+T25+T13)</f>
        <v>104168.9</v>
      </c>
      <c r="T46" s="96"/>
      <c r="U46" s="97"/>
      <c r="W46" s="95" t="s">
        <v>44</v>
      </c>
      <c r="X46" s="96"/>
      <c r="Y46" s="97"/>
      <c r="Z46" s="103">
        <f>SUM(AA41+Y41+AA25+AA13)</f>
        <v>122740.473</v>
      </c>
      <c r="AA46" s="96"/>
      <c r="AB46" s="97"/>
      <c r="AD46" s="95" t="s">
        <v>44</v>
      </c>
      <c r="AE46" s="96"/>
      <c r="AF46" s="97"/>
      <c r="AG46" s="103">
        <f>SUM(AH41+AF41+AH25+AH13)</f>
        <v>149813.75611000002</v>
      </c>
      <c r="AH46" s="96"/>
      <c r="AI46" s="97"/>
    </row>
    <row r="47" spans="2:35" x14ac:dyDescent="0.3">
      <c r="B47" s="104" t="s">
        <v>20</v>
      </c>
      <c r="C47" s="105"/>
      <c r="D47" s="106"/>
      <c r="E47" s="107">
        <f>E46</f>
        <v>78595</v>
      </c>
      <c r="F47" s="105"/>
      <c r="G47" s="106"/>
      <c r="I47" s="104" t="s">
        <v>20</v>
      </c>
      <c r="J47" s="105"/>
      <c r="K47" s="106"/>
      <c r="L47" s="107">
        <f>L46</f>
        <v>79365</v>
      </c>
      <c r="M47" s="105"/>
      <c r="N47" s="106"/>
      <c r="P47" s="104" t="s">
        <v>20</v>
      </c>
      <c r="Q47" s="105"/>
      <c r="R47" s="106"/>
      <c r="S47" s="107">
        <f>S46</f>
        <v>104168.9</v>
      </c>
      <c r="T47" s="105"/>
      <c r="U47" s="106"/>
      <c r="W47" s="104" t="s">
        <v>20</v>
      </c>
      <c r="X47" s="105"/>
      <c r="Y47" s="106"/>
      <c r="Z47" s="107">
        <f>Z46</f>
        <v>122740.473</v>
      </c>
      <c r="AA47" s="105"/>
      <c r="AB47" s="106"/>
      <c r="AD47" s="104" t="s">
        <v>20</v>
      </c>
      <c r="AE47" s="105"/>
      <c r="AF47" s="106"/>
      <c r="AG47" s="107">
        <f>AG46</f>
        <v>149813.75611000002</v>
      </c>
      <c r="AH47" s="105"/>
      <c r="AI47" s="106"/>
    </row>
    <row r="66" spans="1:5" x14ac:dyDescent="0.3">
      <c r="A66" s="19" t="s">
        <v>45</v>
      </c>
      <c r="B66" s="20">
        <v>0.2</v>
      </c>
      <c r="C66" s="19" t="s">
        <v>46</v>
      </c>
      <c r="E66" s="22">
        <f>1+B66</f>
        <v>1.2</v>
      </c>
    </row>
    <row r="67" spans="1:5" x14ac:dyDescent="0.3">
      <c r="A67" s="21" t="s">
        <v>47</v>
      </c>
      <c r="B67" s="23">
        <f>RATE(12,,-1,E66)</f>
        <v>1.5309470499732226E-2</v>
      </c>
      <c r="C67" s="21" t="s">
        <v>48</v>
      </c>
    </row>
  </sheetData>
  <mergeCells count="410">
    <mergeCell ref="I47:K47"/>
    <mergeCell ref="L47:N47"/>
    <mergeCell ref="P47:R47"/>
    <mergeCell ref="S47:U47"/>
    <mergeCell ref="B47:D47"/>
    <mergeCell ref="E47:G47"/>
    <mergeCell ref="P44:U44"/>
    <mergeCell ref="P45:R45"/>
    <mergeCell ref="S45:U45"/>
    <mergeCell ref="P46:R46"/>
    <mergeCell ref="S46:U46"/>
    <mergeCell ref="B44:G44"/>
    <mergeCell ref="B45:D45"/>
    <mergeCell ref="E45:G45"/>
    <mergeCell ref="B46:D46"/>
    <mergeCell ref="E46:G46"/>
    <mergeCell ref="P39:Q39"/>
    <mergeCell ref="R39:S39"/>
    <mergeCell ref="T39:U39"/>
    <mergeCell ref="P40:U40"/>
    <mergeCell ref="P41:Q41"/>
    <mergeCell ref="R41:S41"/>
    <mergeCell ref="T41:U41"/>
    <mergeCell ref="P37:Q37"/>
    <mergeCell ref="R37:S37"/>
    <mergeCell ref="T37:U37"/>
    <mergeCell ref="P38:Q38"/>
    <mergeCell ref="R38:S38"/>
    <mergeCell ref="T38:U38"/>
    <mergeCell ref="P35:Q35"/>
    <mergeCell ref="R35:S35"/>
    <mergeCell ref="T35:U35"/>
    <mergeCell ref="P36:Q36"/>
    <mergeCell ref="R36:S36"/>
    <mergeCell ref="T36:U36"/>
    <mergeCell ref="P33:Q33"/>
    <mergeCell ref="R33:S33"/>
    <mergeCell ref="T33:U33"/>
    <mergeCell ref="P34:Q34"/>
    <mergeCell ref="R34:S34"/>
    <mergeCell ref="T34:U34"/>
    <mergeCell ref="P31:Q31"/>
    <mergeCell ref="R31:S31"/>
    <mergeCell ref="T31:U31"/>
    <mergeCell ref="P32:Q32"/>
    <mergeCell ref="R32:S32"/>
    <mergeCell ref="T32:U32"/>
    <mergeCell ref="P28:U28"/>
    <mergeCell ref="P29:Q29"/>
    <mergeCell ref="R29:S29"/>
    <mergeCell ref="T29:U29"/>
    <mergeCell ref="P30:U30"/>
    <mergeCell ref="P23:Q23"/>
    <mergeCell ref="R23:S23"/>
    <mergeCell ref="T23:U23"/>
    <mergeCell ref="P24:U24"/>
    <mergeCell ref="P25:Q25"/>
    <mergeCell ref="R25:S25"/>
    <mergeCell ref="T25:U25"/>
    <mergeCell ref="P21:Q21"/>
    <mergeCell ref="R21:S21"/>
    <mergeCell ref="T21:U21"/>
    <mergeCell ref="P22:Q22"/>
    <mergeCell ref="R22:S22"/>
    <mergeCell ref="T22:U22"/>
    <mergeCell ref="P18:U18"/>
    <mergeCell ref="P19:Q19"/>
    <mergeCell ref="R19:S19"/>
    <mergeCell ref="T19:U19"/>
    <mergeCell ref="P20:Q20"/>
    <mergeCell ref="R20:S20"/>
    <mergeCell ref="T20:U20"/>
    <mergeCell ref="P13:Q13"/>
    <mergeCell ref="R13:S13"/>
    <mergeCell ref="T13:U13"/>
    <mergeCell ref="P16:U16"/>
    <mergeCell ref="P17:Q17"/>
    <mergeCell ref="R17:S17"/>
    <mergeCell ref="T17:U17"/>
    <mergeCell ref="P7:U7"/>
    <mergeCell ref="P8:Q8"/>
    <mergeCell ref="R8:S8"/>
    <mergeCell ref="T8:U8"/>
    <mergeCell ref="P9:U9"/>
    <mergeCell ref="P10:Q10"/>
    <mergeCell ref="R10:S10"/>
    <mergeCell ref="T10:U10"/>
    <mergeCell ref="P11:Q11"/>
    <mergeCell ref="R11:S11"/>
    <mergeCell ref="T11:U11"/>
    <mergeCell ref="P12:U12"/>
    <mergeCell ref="I44:N44"/>
    <mergeCell ref="I45:K45"/>
    <mergeCell ref="L45:N45"/>
    <mergeCell ref="I46:K46"/>
    <mergeCell ref="L46:N46"/>
    <mergeCell ref="I39:J39"/>
    <mergeCell ref="K39:L39"/>
    <mergeCell ref="M39:N39"/>
    <mergeCell ref="I40:N40"/>
    <mergeCell ref="I41:J41"/>
    <mergeCell ref="K41:L41"/>
    <mergeCell ref="M41:N41"/>
    <mergeCell ref="I37:J37"/>
    <mergeCell ref="K37:L37"/>
    <mergeCell ref="M37:N37"/>
    <mergeCell ref="I38:J38"/>
    <mergeCell ref="K38:L38"/>
    <mergeCell ref="M38:N38"/>
    <mergeCell ref="I35:J35"/>
    <mergeCell ref="K35:L35"/>
    <mergeCell ref="M35:N35"/>
    <mergeCell ref="I36:J36"/>
    <mergeCell ref="K36:L36"/>
    <mergeCell ref="M36:N36"/>
    <mergeCell ref="I33:J33"/>
    <mergeCell ref="K33:L33"/>
    <mergeCell ref="M33:N33"/>
    <mergeCell ref="I34:J34"/>
    <mergeCell ref="K34:L34"/>
    <mergeCell ref="M34:N34"/>
    <mergeCell ref="I31:J31"/>
    <mergeCell ref="K31:L31"/>
    <mergeCell ref="M31:N31"/>
    <mergeCell ref="I32:J32"/>
    <mergeCell ref="K32:L32"/>
    <mergeCell ref="M32:N32"/>
    <mergeCell ref="I28:N28"/>
    <mergeCell ref="I29:J29"/>
    <mergeCell ref="K29:L29"/>
    <mergeCell ref="M29:N29"/>
    <mergeCell ref="I30:N30"/>
    <mergeCell ref="I23:J23"/>
    <mergeCell ref="K23:L23"/>
    <mergeCell ref="M23:N23"/>
    <mergeCell ref="I24:N24"/>
    <mergeCell ref="I25:J25"/>
    <mergeCell ref="K25:L25"/>
    <mergeCell ref="M25:N25"/>
    <mergeCell ref="I21:J21"/>
    <mergeCell ref="K21:L21"/>
    <mergeCell ref="M21:N21"/>
    <mergeCell ref="I22:J22"/>
    <mergeCell ref="K22:L22"/>
    <mergeCell ref="M22:N22"/>
    <mergeCell ref="I19:J19"/>
    <mergeCell ref="K19:L19"/>
    <mergeCell ref="M19:N19"/>
    <mergeCell ref="I20:J20"/>
    <mergeCell ref="K20:L20"/>
    <mergeCell ref="M20:N20"/>
    <mergeCell ref="I16:N16"/>
    <mergeCell ref="I17:J17"/>
    <mergeCell ref="K17:L17"/>
    <mergeCell ref="M17:N17"/>
    <mergeCell ref="I18:N18"/>
    <mergeCell ref="I11:J11"/>
    <mergeCell ref="K11:L11"/>
    <mergeCell ref="M11:N11"/>
    <mergeCell ref="I12:N12"/>
    <mergeCell ref="I13:J13"/>
    <mergeCell ref="K13:L13"/>
    <mergeCell ref="M13:N13"/>
    <mergeCell ref="I10:J10"/>
    <mergeCell ref="K10:L10"/>
    <mergeCell ref="M10:N10"/>
    <mergeCell ref="I7:N7"/>
    <mergeCell ref="I8:J8"/>
    <mergeCell ref="K8:L8"/>
    <mergeCell ref="M8:N8"/>
    <mergeCell ref="I9:N9"/>
    <mergeCell ref="B7:G7"/>
    <mergeCell ref="B8:C8"/>
    <mergeCell ref="D8:E8"/>
    <mergeCell ref="F8:G8"/>
    <mergeCell ref="B9:G9"/>
    <mergeCell ref="B11:C11"/>
    <mergeCell ref="D11:E11"/>
    <mergeCell ref="B16:G16"/>
    <mergeCell ref="B10:C10"/>
    <mergeCell ref="D10:E10"/>
    <mergeCell ref="F10:G10"/>
    <mergeCell ref="F11:G11"/>
    <mergeCell ref="D13:E13"/>
    <mergeCell ref="F13:G13"/>
    <mergeCell ref="B13:C13"/>
    <mergeCell ref="B19:C19"/>
    <mergeCell ref="B21:C21"/>
    <mergeCell ref="B20:C20"/>
    <mergeCell ref="F19:G19"/>
    <mergeCell ref="F20:G20"/>
    <mergeCell ref="F21:G21"/>
    <mergeCell ref="B12:G12"/>
    <mergeCell ref="B24:G24"/>
    <mergeCell ref="B25:C25"/>
    <mergeCell ref="D25:E25"/>
    <mergeCell ref="F25:G25"/>
    <mergeCell ref="B22:C22"/>
    <mergeCell ref="B23:C23"/>
    <mergeCell ref="D19:E19"/>
    <mergeCell ref="D20:E20"/>
    <mergeCell ref="D21:E21"/>
    <mergeCell ref="D22:E22"/>
    <mergeCell ref="D23:E23"/>
    <mergeCell ref="B17:C17"/>
    <mergeCell ref="D17:E17"/>
    <mergeCell ref="F17:G17"/>
    <mergeCell ref="B18:G18"/>
    <mergeCell ref="F31:G31"/>
    <mergeCell ref="D32:E32"/>
    <mergeCell ref="B28:G28"/>
    <mergeCell ref="B30:G30"/>
    <mergeCell ref="F22:G22"/>
    <mergeCell ref="F23:G23"/>
    <mergeCell ref="D34:E34"/>
    <mergeCell ref="D33:E33"/>
    <mergeCell ref="B40:G40"/>
    <mergeCell ref="F29:G29"/>
    <mergeCell ref="D29:E29"/>
    <mergeCell ref="B29:C29"/>
    <mergeCell ref="B31:C31"/>
    <mergeCell ref="B32:C32"/>
    <mergeCell ref="F37:G37"/>
    <mergeCell ref="B37:C37"/>
    <mergeCell ref="B38:C38"/>
    <mergeCell ref="B39:C39"/>
    <mergeCell ref="F36:G36"/>
    <mergeCell ref="F35:G35"/>
    <mergeCell ref="B36:C36"/>
    <mergeCell ref="D31:E31"/>
    <mergeCell ref="F32:G32"/>
    <mergeCell ref="B41:C41"/>
    <mergeCell ref="D41:E41"/>
    <mergeCell ref="F41:G41"/>
    <mergeCell ref="F33:G33"/>
    <mergeCell ref="F34:G34"/>
    <mergeCell ref="D35:E35"/>
    <mergeCell ref="D36:E36"/>
    <mergeCell ref="D37:E37"/>
    <mergeCell ref="D38:E38"/>
    <mergeCell ref="D39:E39"/>
    <mergeCell ref="F39:G39"/>
    <mergeCell ref="F38:G38"/>
    <mergeCell ref="B35:C35"/>
    <mergeCell ref="B34:C34"/>
    <mergeCell ref="B33:C33"/>
    <mergeCell ref="W7:AB7"/>
    <mergeCell ref="W8:X8"/>
    <mergeCell ref="Y8:Z8"/>
    <mergeCell ref="AA8:AB8"/>
    <mergeCell ref="W9:AB9"/>
    <mergeCell ref="W10:X10"/>
    <mergeCell ref="Y10:Z10"/>
    <mergeCell ref="AA10:AB10"/>
    <mergeCell ref="W11:X11"/>
    <mergeCell ref="Y11:Z11"/>
    <mergeCell ref="AA11:AB11"/>
    <mergeCell ref="W12:AB12"/>
    <mergeCell ref="W13:X13"/>
    <mergeCell ref="Y13:Z13"/>
    <mergeCell ref="AA13:AB13"/>
    <mergeCell ref="W16:AB16"/>
    <mergeCell ref="W17:X17"/>
    <mergeCell ref="Y17:Z17"/>
    <mergeCell ref="AA17:AB17"/>
    <mergeCell ref="W18:AB18"/>
    <mergeCell ref="W19:X19"/>
    <mergeCell ref="Y19:Z19"/>
    <mergeCell ref="AA19:AB19"/>
    <mergeCell ref="W20:X20"/>
    <mergeCell ref="Y20:Z20"/>
    <mergeCell ref="AA20:AB20"/>
    <mergeCell ref="W21:X21"/>
    <mergeCell ref="Y21:Z21"/>
    <mergeCell ref="AA21:AB21"/>
    <mergeCell ref="W22:X22"/>
    <mergeCell ref="Y22:Z22"/>
    <mergeCell ref="AA22:AB22"/>
    <mergeCell ref="W23:X23"/>
    <mergeCell ref="Y23:Z23"/>
    <mergeCell ref="AA23:AB23"/>
    <mergeCell ref="W24:AB24"/>
    <mergeCell ref="W25:X25"/>
    <mergeCell ref="Y25:Z25"/>
    <mergeCell ref="AA25:AB25"/>
    <mergeCell ref="W28:AB28"/>
    <mergeCell ref="W29:X29"/>
    <mergeCell ref="Y29:Z29"/>
    <mergeCell ref="AA29:AB29"/>
    <mergeCell ref="W30:AB30"/>
    <mergeCell ref="W31:X31"/>
    <mergeCell ref="Y31:Z31"/>
    <mergeCell ref="AA31:AB31"/>
    <mergeCell ref="W32:X32"/>
    <mergeCell ref="Y32:Z32"/>
    <mergeCell ref="AA32:AB32"/>
    <mergeCell ref="W33:X33"/>
    <mergeCell ref="Y33:Z33"/>
    <mergeCell ref="AA33:AB33"/>
    <mergeCell ref="W34:X34"/>
    <mergeCell ref="Y34:Z34"/>
    <mergeCell ref="AA34:AB34"/>
    <mergeCell ref="W35:X35"/>
    <mergeCell ref="Y35:Z35"/>
    <mergeCell ref="AA35:AB35"/>
    <mergeCell ref="W36:X36"/>
    <mergeCell ref="Y36:Z36"/>
    <mergeCell ref="AA36:AB36"/>
    <mergeCell ref="W37:X37"/>
    <mergeCell ref="Y37:Z37"/>
    <mergeCell ref="AA37:AB37"/>
    <mergeCell ref="W38:X38"/>
    <mergeCell ref="Y38:Z38"/>
    <mergeCell ref="AA38:AB38"/>
    <mergeCell ref="W39:X39"/>
    <mergeCell ref="Y39:Z39"/>
    <mergeCell ref="AA39:AB39"/>
    <mergeCell ref="W40:AB40"/>
    <mergeCell ref="W41:X41"/>
    <mergeCell ref="Y41:Z41"/>
    <mergeCell ref="AA41:AB41"/>
    <mergeCell ref="W44:AB44"/>
    <mergeCell ref="W45:Y45"/>
    <mergeCell ref="Z45:AB45"/>
    <mergeCell ref="W46:Y46"/>
    <mergeCell ref="Z46:AB46"/>
    <mergeCell ref="W47:Y47"/>
    <mergeCell ref="Z47:AB47"/>
    <mergeCell ref="AD7:AI7"/>
    <mergeCell ref="AD8:AE8"/>
    <mergeCell ref="AF8:AG8"/>
    <mergeCell ref="AH8:AI8"/>
    <mergeCell ref="AD9:AI9"/>
    <mergeCell ref="AD10:AE10"/>
    <mergeCell ref="AF10:AG10"/>
    <mergeCell ref="AH10:AI10"/>
    <mergeCell ref="AD11:AE11"/>
    <mergeCell ref="AF11:AG11"/>
    <mergeCell ref="AH11:AI11"/>
    <mergeCell ref="AD12:AI12"/>
    <mergeCell ref="AD13:AE13"/>
    <mergeCell ref="AF13:AG13"/>
    <mergeCell ref="AH13:AI13"/>
    <mergeCell ref="AD16:AI16"/>
    <mergeCell ref="AD17:AE17"/>
    <mergeCell ref="AF17:AG17"/>
    <mergeCell ref="AH17:AI17"/>
    <mergeCell ref="AD18:AI18"/>
    <mergeCell ref="AD19:AE19"/>
    <mergeCell ref="AF19:AG19"/>
    <mergeCell ref="AH19:AI19"/>
    <mergeCell ref="AD20:AE20"/>
    <mergeCell ref="AF20:AG20"/>
    <mergeCell ref="AH20:AI20"/>
    <mergeCell ref="AD21:AE21"/>
    <mergeCell ref="AF21:AG21"/>
    <mergeCell ref="AH21:AI21"/>
    <mergeCell ref="AD22:AE22"/>
    <mergeCell ref="AF22:AG22"/>
    <mergeCell ref="AH22:AI22"/>
    <mergeCell ref="AD23:AE23"/>
    <mergeCell ref="AF23:AG23"/>
    <mergeCell ref="AH23:AI23"/>
    <mergeCell ref="AD24:AI24"/>
    <mergeCell ref="AD25:AE25"/>
    <mergeCell ref="AF25:AG25"/>
    <mergeCell ref="AH25:AI25"/>
    <mergeCell ref="AD28:AI28"/>
    <mergeCell ref="AD29:AE29"/>
    <mergeCell ref="AF29:AG29"/>
    <mergeCell ref="AH29:AI29"/>
    <mergeCell ref="AD30:AI30"/>
    <mergeCell ref="AD31:AE31"/>
    <mergeCell ref="AF31:AG31"/>
    <mergeCell ref="AH31:AI31"/>
    <mergeCell ref="AD32:AE32"/>
    <mergeCell ref="AF32:AG32"/>
    <mergeCell ref="AH32:AI32"/>
    <mergeCell ref="AD33:AE33"/>
    <mergeCell ref="AF33:AG33"/>
    <mergeCell ref="AH33:AI33"/>
    <mergeCell ref="AD34:AE34"/>
    <mergeCell ref="AF34:AG34"/>
    <mergeCell ref="AH34:AI34"/>
    <mergeCell ref="AD35:AE35"/>
    <mergeCell ref="AF35:AG35"/>
    <mergeCell ref="AH35:AI35"/>
    <mergeCell ref="AD36:AE36"/>
    <mergeCell ref="AF36:AG36"/>
    <mergeCell ref="AH36:AI36"/>
    <mergeCell ref="AD37:AE37"/>
    <mergeCell ref="AF37:AG37"/>
    <mergeCell ref="AH37:AI37"/>
    <mergeCell ref="AD38:AE38"/>
    <mergeCell ref="AF38:AG38"/>
    <mergeCell ref="AH38:AI38"/>
    <mergeCell ref="AD46:AF46"/>
    <mergeCell ref="AG46:AI46"/>
    <mergeCell ref="AD47:AF47"/>
    <mergeCell ref="AG47:AI47"/>
    <mergeCell ref="AD39:AE39"/>
    <mergeCell ref="AF39:AG39"/>
    <mergeCell ref="AH39:AI39"/>
    <mergeCell ref="AD40:AI40"/>
    <mergeCell ref="AD41:AE41"/>
    <mergeCell ref="AF41:AG41"/>
    <mergeCell ref="AH41:AI41"/>
    <mergeCell ref="AD44:AI44"/>
    <mergeCell ref="AD45:AF45"/>
    <mergeCell ref="AG45:AI4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2884-78E5-4419-A866-C359520E56DC}">
  <dimension ref="A6:AH84"/>
  <sheetViews>
    <sheetView topLeftCell="J55" zoomScale="67" workbookViewId="0">
      <selection activeCell="B19" sqref="B19:D19"/>
    </sheetView>
  </sheetViews>
  <sheetFormatPr defaultRowHeight="14.4" x14ac:dyDescent="0.3"/>
  <cols>
    <col min="1" max="1" width="11.21875" bestFit="1" customWidth="1"/>
    <col min="2" max="2" width="9.88671875" customWidth="1"/>
    <col min="3" max="3" width="30" customWidth="1"/>
    <col min="4" max="4" width="16.77734375" customWidth="1"/>
    <col min="5" max="5" width="13.88671875" bestFit="1" customWidth="1"/>
    <col min="6" max="6" width="13.109375" customWidth="1"/>
    <col min="8" max="8" width="11.5546875" bestFit="1" customWidth="1"/>
    <col min="10" max="10" width="16" customWidth="1"/>
    <col min="11" max="11" width="13.77734375" bestFit="1" customWidth="1"/>
    <col min="12" max="12" width="11.5546875" bestFit="1" customWidth="1"/>
    <col min="16" max="16" width="10.6640625" customWidth="1"/>
    <col min="17" max="17" width="16.109375" customWidth="1"/>
    <col min="18" max="18" width="13.77734375" bestFit="1" customWidth="1"/>
    <col min="24" max="24" width="20.44140625" customWidth="1"/>
    <col min="25" max="25" width="13.77734375" bestFit="1" customWidth="1"/>
    <col min="30" max="30" width="10.109375" customWidth="1"/>
    <col min="31" max="31" width="17.21875" customWidth="1"/>
    <col min="32" max="32" width="13.77734375" bestFit="1" customWidth="1"/>
  </cols>
  <sheetData>
    <row r="6" spans="2:34" x14ac:dyDescent="0.3">
      <c r="B6" s="134" t="s">
        <v>49</v>
      </c>
      <c r="C6" s="135"/>
      <c r="D6" s="135"/>
      <c r="E6" s="135"/>
      <c r="F6" s="136"/>
      <c r="H6" s="120" t="s">
        <v>49</v>
      </c>
      <c r="I6" s="120"/>
      <c r="J6" s="120"/>
      <c r="K6" s="120"/>
      <c r="L6" s="120"/>
      <c r="M6" s="120"/>
      <c r="O6" s="120" t="s">
        <v>49</v>
      </c>
      <c r="P6" s="120"/>
      <c r="Q6" s="120"/>
      <c r="R6" s="120"/>
      <c r="S6" s="120"/>
      <c r="T6" s="120"/>
      <c r="V6" s="120" t="s">
        <v>49</v>
      </c>
      <c r="W6" s="120"/>
      <c r="X6" s="120"/>
      <c r="Y6" s="120"/>
      <c r="Z6" s="120"/>
      <c r="AA6" s="120"/>
      <c r="AC6" s="120" t="s">
        <v>49</v>
      </c>
      <c r="AD6" s="120"/>
      <c r="AE6" s="120"/>
      <c r="AF6" s="120"/>
      <c r="AG6" s="120"/>
      <c r="AH6" s="120"/>
    </row>
    <row r="7" spans="2:34" x14ac:dyDescent="0.3">
      <c r="B7" s="138" t="s">
        <v>3</v>
      </c>
      <c r="C7" s="139"/>
      <c r="D7" s="130" t="s">
        <v>50</v>
      </c>
      <c r="E7" s="130"/>
      <c r="F7" s="130"/>
      <c r="H7" s="130" t="s">
        <v>3</v>
      </c>
      <c r="I7" s="130"/>
      <c r="J7" s="130" t="s">
        <v>50</v>
      </c>
      <c r="K7" s="130"/>
      <c r="L7" s="130"/>
      <c r="M7" s="130"/>
      <c r="O7" s="130" t="s">
        <v>3</v>
      </c>
      <c r="P7" s="130"/>
      <c r="Q7" s="130" t="s">
        <v>50</v>
      </c>
      <c r="R7" s="130"/>
      <c r="S7" s="130"/>
      <c r="T7" s="130"/>
      <c r="V7" s="130" t="s">
        <v>3</v>
      </c>
      <c r="W7" s="130"/>
      <c r="X7" s="130" t="s">
        <v>50</v>
      </c>
      <c r="Y7" s="130"/>
      <c r="Z7" s="130"/>
      <c r="AA7" s="130"/>
      <c r="AC7" s="130" t="s">
        <v>3</v>
      </c>
      <c r="AD7" s="130"/>
      <c r="AE7" s="130" t="s">
        <v>50</v>
      </c>
      <c r="AF7" s="130"/>
      <c r="AG7" s="130"/>
      <c r="AH7" s="130"/>
    </row>
    <row r="8" spans="2:34" x14ac:dyDescent="0.3">
      <c r="B8" s="115" t="s">
        <v>51</v>
      </c>
      <c r="C8" s="117"/>
      <c r="D8" s="137">
        <v>0.1</v>
      </c>
      <c r="E8" s="137"/>
      <c r="F8" s="137"/>
      <c r="H8" s="131" t="s">
        <v>51</v>
      </c>
      <c r="I8" s="131"/>
      <c r="J8" s="137">
        <v>0.1</v>
      </c>
      <c r="K8" s="137"/>
      <c r="L8" s="137"/>
      <c r="M8" s="137"/>
      <c r="O8" s="131" t="s">
        <v>51</v>
      </c>
      <c r="P8" s="131"/>
      <c r="Q8" s="137">
        <v>0.15</v>
      </c>
      <c r="R8" s="137"/>
      <c r="S8" s="137"/>
      <c r="T8" s="137"/>
      <c r="V8" s="131" t="s">
        <v>51</v>
      </c>
      <c r="W8" s="131"/>
      <c r="X8" s="137">
        <v>0.15</v>
      </c>
      <c r="Y8" s="137"/>
      <c r="Z8" s="137"/>
      <c r="AA8" s="137"/>
      <c r="AC8" s="131" t="s">
        <v>51</v>
      </c>
      <c r="AD8" s="131"/>
      <c r="AE8" s="137">
        <v>0.17</v>
      </c>
      <c r="AF8" s="137"/>
      <c r="AG8" s="137"/>
      <c r="AH8" s="137"/>
    </row>
    <row r="9" spans="2:34" x14ac:dyDescent="0.3">
      <c r="B9" s="115" t="s">
        <v>52</v>
      </c>
      <c r="C9" s="117"/>
      <c r="D9" s="137">
        <v>0.3</v>
      </c>
      <c r="E9" s="137"/>
      <c r="F9" s="137"/>
      <c r="H9" s="131" t="s">
        <v>52</v>
      </c>
      <c r="I9" s="131"/>
      <c r="J9" s="137">
        <v>0.3</v>
      </c>
      <c r="K9" s="137"/>
      <c r="L9" s="137"/>
      <c r="M9" s="137"/>
      <c r="O9" s="131" t="s">
        <v>52</v>
      </c>
      <c r="P9" s="131"/>
      <c r="Q9" s="137">
        <v>0.4</v>
      </c>
      <c r="R9" s="137"/>
      <c r="S9" s="137"/>
      <c r="T9" s="137"/>
      <c r="V9" s="131" t="s">
        <v>52</v>
      </c>
      <c r="W9" s="131"/>
      <c r="X9" s="137">
        <v>0.4</v>
      </c>
      <c r="Y9" s="137"/>
      <c r="Z9" s="137"/>
      <c r="AA9" s="137"/>
      <c r="AC9" s="131" t="s">
        <v>52</v>
      </c>
      <c r="AD9" s="131"/>
      <c r="AE9" s="137">
        <v>0.45</v>
      </c>
      <c r="AF9" s="137"/>
      <c r="AG9" s="137"/>
      <c r="AH9" s="137"/>
    </row>
    <row r="10" spans="2:34" x14ac:dyDescent="0.3">
      <c r="B10" s="115" t="s">
        <v>53</v>
      </c>
      <c r="C10" s="117"/>
      <c r="D10" s="137">
        <v>0.4</v>
      </c>
      <c r="E10" s="137"/>
      <c r="F10" s="137"/>
      <c r="H10" s="131" t="s">
        <v>53</v>
      </c>
      <c r="I10" s="131"/>
      <c r="J10" s="137">
        <v>0.4</v>
      </c>
      <c r="K10" s="137"/>
      <c r="L10" s="137"/>
      <c r="M10" s="137"/>
      <c r="O10" s="131" t="s">
        <v>53</v>
      </c>
      <c r="P10" s="131"/>
      <c r="Q10" s="137">
        <v>0.4</v>
      </c>
      <c r="R10" s="137"/>
      <c r="S10" s="137"/>
      <c r="T10" s="137"/>
      <c r="V10" s="131" t="s">
        <v>53</v>
      </c>
      <c r="W10" s="131"/>
      <c r="X10" s="137">
        <v>0.4</v>
      </c>
      <c r="Y10" s="137"/>
      <c r="Z10" s="137"/>
      <c r="AA10" s="137"/>
      <c r="AC10" s="131" t="s">
        <v>53</v>
      </c>
      <c r="AD10" s="131"/>
      <c r="AE10" s="137">
        <v>0.4</v>
      </c>
      <c r="AF10" s="137"/>
      <c r="AG10" s="137"/>
      <c r="AH10" s="137"/>
    </row>
    <row r="11" spans="2:34" x14ac:dyDescent="0.3">
      <c r="B11" s="115" t="s">
        <v>54</v>
      </c>
      <c r="C11" s="117"/>
      <c r="D11" s="137">
        <v>0.13</v>
      </c>
      <c r="E11" s="137"/>
      <c r="F11" s="137"/>
      <c r="H11" s="131" t="s">
        <v>54</v>
      </c>
      <c r="I11" s="131"/>
      <c r="J11" s="137">
        <v>0.13</v>
      </c>
      <c r="K11" s="137"/>
      <c r="L11" s="137"/>
      <c r="M11" s="137"/>
      <c r="O11" s="131" t="s">
        <v>54</v>
      </c>
      <c r="P11" s="131"/>
      <c r="Q11" s="137">
        <v>0.15</v>
      </c>
      <c r="R11" s="137"/>
      <c r="S11" s="137"/>
      <c r="T11" s="137"/>
      <c r="V11" s="131" t="s">
        <v>54</v>
      </c>
      <c r="W11" s="131"/>
      <c r="X11" s="137">
        <v>0.15</v>
      </c>
      <c r="Y11" s="137"/>
      <c r="Z11" s="137"/>
      <c r="AA11" s="137"/>
      <c r="AC11" s="131" t="s">
        <v>54</v>
      </c>
      <c r="AD11" s="131"/>
      <c r="AE11" s="137">
        <v>0.17</v>
      </c>
      <c r="AF11" s="137"/>
      <c r="AG11" s="137"/>
      <c r="AH11" s="137"/>
    </row>
    <row r="14" spans="2:34" x14ac:dyDescent="0.3">
      <c r="B14" s="120" t="s">
        <v>51</v>
      </c>
      <c r="C14" s="120"/>
      <c r="D14" s="120"/>
      <c r="E14" s="120"/>
      <c r="F14" s="120"/>
      <c r="H14" s="120" t="s">
        <v>51</v>
      </c>
      <c r="I14" s="120"/>
      <c r="J14" s="120"/>
      <c r="K14" s="120"/>
      <c r="L14" s="120"/>
      <c r="M14" s="120"/>
      <c r="O14" s="120" t="s">
        <v>51</v>
      </c>
      <c r="P14" s="120"/>
      <c r="Q14" s="120"/>
      <c r="R14" s="120"/>
      <c r="S14" s="120"/>
      <c r="T14" s="120"/>
      <c r="V14" s="120" t="s">
        <v>51</v>
      </c>
      <c r="W14" s="120"/>
      <c r="X14" s="120"/>
      <c r="Y14" s="120"/>
      <c r="Z14" s="120"/>
      <c r="AA14" s="120"/>
      <c r="AC14" s="120" t="s">
        <v>51</v>
      </c>
      <c r="AD14" s="120"/>
      <c r="AE14" s="120"/>
      <c r="AF14" s="120"/>
      <c r="AG14" s="120"/>
      <c r="AH14" s="120"/>
    </row>
    <row r="15" spans="2:34" x14ac:dyDescent="0.3">
      <c r="B15" s="123" t="s">
        <v>3</v>
      </c>
      <c r="C15" s="124"/>
      <c r="D15" s="24" t="s">
        <v>56</v>
      </c>
      <c r="E15" s="130" t="s">
        <v>5</v>
      </c>
      <c r="F15" s="130"/>
      <c r="H15" s="123" t="s">
        <v>3</v>
      </c>
      <c r="I15" s="124"/>
      <c r="J15" s="123" t="s">
        <v>56</v>
      </c>
      <c r="K15" s="124"/>
      <c r="L15" s="130" t="s">
        <v>5</v>
      </c>
      <c r="M15" s="130"/>
      <c r="O15" s="123" t="s">
        <v>3</v>
      </c>
      <c r="P15" s="124"/>
      <c r="Q15" s="123" t="s">
        <v>56</v>
      </c>
      <c r="R15" s="124"/>
      <c r="S15" s="130" t="s">
        <v>5</v>
      </c>
      <c r="T15" s="130"/>
      <c r="V15" s="123" t="s">
        <v>3</v>
      </c>
      <c r="W15" s="124"/>
      <c r="X15" s="123" t="s">
        <v>56</v>
      </c>
      <c r="Y15" s="124"/>
      <c r="Z15" s="130" t="s">
        <v>5</v>
      </c>
      <c r="AA15" s="130"/>
      <c r="AC15" s="123" t="s">
        <v>3</v>
      </c>
      <c r="AD15" s="124"/>
      <c r="AE15" s="123" t="s">
        <v>56</v>
      </c>
      <c r="AF15" s="124"/>
      <c r="AG15" s="130" t="s">
        <v>5</v>
      </c>
      <c r="AH15" s="130"/>
    </row>
    <row r="16" spans="2:34" x14ac:dyDescent="0.3">
      <c r="B16" s="115" t="s">
        <v>59</v>
      </c>
      <c r="C16" s="117"/>
      <c r="D16" s="26">
        <v>1</v>
      </c>
      <c r="E16" s="132">
        <v>50</v>
      </c>
      <c r="F16" s="132"/>
      <c r="H16" s="115" t="s">
        <v>59</v>
      </c>
      <c r="I16" s="117"/>
      <c r="J16" s="131">
        <v>2</v>
      </c>
      <c r="K16" s="131"/>
      <c r="L16" s="125">
        <v>80</v>
      </c>
      <c r="M16" s="126"/>
      <c r="O16" s="115" t="s">
        <v>59</v>
      </c>
      <c r="P16" s="117"/>
      <c r="Q16" s="131">
        <v>3</v>
      </c>
      <c r="R16" s="131"/>
      <c r="S16" s="125">
        <v>100</v>
      </c>
      <c r="T16" s="126"/>
      <c r="V16" s="115" t="s">
        <v>59</v>
      </c>
      <c r="W16" s="117"/>
      <c r="X16" s="131">
        <v>5</v>
      </c>
      <c r="Y16" s="131"/>
      <c r="Z16" s="125">
        <v>120</v>
      </c>
      <c r="AA16" s="126"/>
      <c r="AC16" s="115" t="s">
        <v>59</v>
      </c>
      <c r="AD16" s="117"/>
      <c r="AE16" s="131">
        <v>6</v>
      </c>
      <c r="AF16" s="131"/>
      <c r="AG16" s="125">
        <v>135</v>
      </c>
      <c r="AH16" s="126"/>
    </row>
    <row r="17" spans="2:34" x14ac:dyDescent="0.3">
      <c r="B17" s="115" t="s">
        <v>55</v>
      </c>
      <c r="C17" s="117"/>
      <c r="D17" s="26">
        <v>2</v>
      </c>
      <c r="E17" s="132">
        <f>E16*D17</f>
        <v>100</v>
      </c>
      <c r="F17" s="132"/>
      <c r="H17" s="115" t="s">
        <v>55</v>
      </c>
      <c r="I17" s="117"/>
      <c r="J17" s="131">
        <v>5</v>
      </c>
      <c r="K17" s="131"/>
      <c r="L17" s="132">
        <f>L16*J17</f>
        <v>400</v>
      </c>
      <c r="M17" s="132"/>
      <c r="O17" s="115" t="s">
        <v>55</v>
      </c>
      <c r="P17" s="117"/>
      <c r="Q17" s="131">
        <v>7</v>
      </c>
      <c r="R17" s="131"/>
      <c r="S17" s="132">
        <f>S16*Q17</f>
        <v>700</v>
      </c>
      <c r="T17" s="131"/>
      <c r="V17" s="115" t="s">
        <v>55</v>
      </c>
      <c r="W17" s="117"/>
      <c r="X17" s="131">
        <v>7</v>
      </c>
      <c r="Y17" s="131"/>
      <c r="Z17" s="132">
        <f>Z16*X17</f>
        <v>840</v>
      </c>
      <c r="AA17" s="131"/>
      <c r="AC17" s="115" t="s">
        <v>55</v>
      </c>
      <c r="AD17" s="117"/>
      <c r="AE17" s="131">
        <v>8</v>
      </c>
      <c r="AF17" s="131"/>
      <c r="AG17" s="132">
        <f>AG16*AE17</f>
        <v>1080</v>
      </c>
      <c r="AH17" s="131"/>
    </row>
    <row r="18" spans="2:34" x14ac:dyDescent="0.3">
      <c r="B18" s="115" t="s">
        <v>57</v>
      </c>
      <c r="C18" s="117"/>
      <c r="D18" s="26">
        <v>24</v>
      </c>
      <c r="E18" s="132">
        <f>E17*D18</f>
        <v>2400</v>
      </c>
      <c r="F18" s="132"/>
      <c r="H18" s="115" t="s">
        <v>57</v>
      </c>
      <c r="I18" s="117"/>
      <c r="J18" s="115">
        <f>J17*12</f>
        <v>60</v>
      </c>
      <c r="K18" s="117"/>
      <c r="L18" s="132">
        <f>L17*J18</f>
        <v>24000</v>
      </c>
      <c r="M18" s="132"/>
      <c r="O18" s="115" t="s">
        <v>57</v>
      </c>
      <c r="P18" s="117"/>
      <c r="Q18" s="115">
        <f>Q17*12</f>
        <v>84</v>
      </c>
      <c r="R18" s="117"/>
      <c r="S18" s="132">
        <f>S17*Q18</f>
        <v>58800</v>
      </c>
      <c r="T18" s="132"/>
      <c r="V18" s="115" t="s">
        <v>57</v>
      </c>
      <c r="W18" s="117"/>
      <c r="X18" s="115">
        <f>X17*12</f>
        <v>84</v>
      </c>
      <c r="Y18" s="117"/>
      <c r="Z18" s="132">
        <f>Z17*X18</f>
        <v>70560</v>
      </c>
      <c r="AA18" s="132"/>
      <c r="AC18" s="115" t="s">
        <v>57</v>
      </c>
      <c r="AD18" s="117"/>
      <c r="AE18" s="115">
        <f>AE17*12</f>
        <v>96</v>
      </c>
      <c r="AF18" s="117"/>
      <c r="AG18" s="132">
        <f>AG17*AE18</f>
        <v>103680</v>
      </c>
      <c r="AH18" s="132"/>
    </row>
    <row r="19" spans="2:34" x14ac:dyDescent="0.3">
      <c r="B19" s="111" t="s">
        <v>58</v>
      </c>
      <c r="C19" s="112"/>
      <c r="D19" s="113"/>
      <c r="E19" s="128">
        <f>E18</f>
        <v>2400</v>
      </c>
      <c r="F19" s="128"/>
      <c r="H19" s="111" t="s">
        <v>58</v>
      </c>
      <c r="I19" s="112"/>
      <c r="J19" s="112"/>
      <c r="K19" s="113"/>
      <c r="L19" s="128">
        <f>L18</f>
        <v>24000</v>
      </c>
      <c r="M19" s="128"/>
      <c r="O19" s="111" t="s">
        <v>58</v>
      </c>
      <c r="P19" s="112"/>
      <c r="Q19" s="112"/>
      <c r="R19" s="113"/>
      <c r="S19" s="128">
        <f>S18</f>
        <v>58800</v>
      </c>
      <c r="T19" s="128"/>
      <c r="V19" s="111" t="s">
        <v>58</v>
      </c>
      <c r="W19" s="112"/>
      <c r="X19" s="112"/>
      <c r="Y19" s="113"/>
      <c r="Z19" s="128">
        <f>Z18</f>
        <v>70560</v>
      </c>
      <c r="AA19" s="128"/>
      <c r="AC19" s="111" t="s">
        <v>58</v>
      </c>
      <c r="AD19" s="112"/>
      <c r="AE19" s="112"/>
      <c r="AF19" s="113"/>
      <c r="AG19" s="128">
        <f>AG18</f>
        <v>103680</v>
      </c>
      <c r="AH19" s="128"/>
    </row>
    <row r="22" spans="2:34" x14ac:dyDescent="0.3">
      <c r="B22" s="120" t="s">
        <v>52</v>
      </c>
      <c r="C22" s="120"/>
      <c r="D22" s="120"/>
      <c r="E22" s="120"/>
      <c r="F22" s="120"/>
      <c r="H22" s="120" t="s">
        <v>52</v>
      </c>
      <c r="I22" s="120"/>
      <c r="J22" s="120"/>
      <c r="K22" s="120"/>
      <c r="L22" s="120"/>
      <c r="M22" s="120"/>
      <c r="O22" s="120" t="s">
        <v>52</v>
      </c>
      <c r="P22" s="120"/>
      <c r="Q22" s="120"/>
      <c r="R22" s="120"/>
      <c r="S22" s="120"/>
      <c r="T22" s="120"/>
      <c r="V22" s="120" t="s">
        <v>52</v>
      </c>
      <c r="W22" s="120"/>
      <c r="X22" s="120"/>
      <c r="Y22" s="120"/>
      <c r="Z22" s="120"/>
      <c r="AA22" s="120"/>
      <c r="AC22" s="120" t="s">
        <v>52</v>
      </c>
      <c r="AD22" s="120"/>
      <c r="AE22" s="120"/>
      <c r="AF22" s="120"/>
      <c r="AG22" s="120"/>
      <c r="AH22" s="120"/>
    </row>
    <row r="23" spans="2:34" x14ac:dyDescent="0.3">
      <c r="B23" s="123" t="s">
        <v>3</v>
      </c>
      <c r="C23" s="124"/>
      <c r="D23" s="24" t="s">
        <v>61</v>
      </c>
      <c r="E23" s="24" t="s">
        <v>62</v>
      </c>
      <c r="F23" s="28" t="s">
        <v>63</v>
      </c>
      <c r="H23" s="123" t="s">
        <v>3</v>
      </c>
      <c r="I23" s="124"/>
      <c r="J23" s="24" t="s">
        <v>61</v>
      </c>
      <c r="K23" s="24" t="s">
        <v>62</v>
      </c>
      <c r="L23" s="130" t="s">
        <v>63</v>
      </c>
      <c r="M23" s="130"/>
      <c r="O23" s="123" t="s">
        <v>3</v>
      </c>
      <c r="P23" s="124"/>
      <c r="Q23" s="24" t="s">
        <v>61</v>
      </c>
      <c r="R23" s="24" t="s">
        <v>62</v>
      </c>
      <c r="S23" s="130" t="s">
        <v>63</v>
      </c>
      <c r="T23" s="130"/>
      <c r="V23" s="123" t="s">
        <v>3</v>
      </c>
      <c r="W23" s="124"/>
      <c r="X23" s="24" t="s">
        <v>61</v>
      </c>
      <c r="Y23" s="24" t="s">
        <v>62</v>
      </c>
      <c r="Z23" s="130" t="s">
        <v>63</v>
      </c>
      <c r="AA23" s="130"/>
      <c r="AC23" s="123" t="s">
        <v>3</v>
      </c>
      <c r="AD23" s="124"/>
      <c r="AE23" s="24" t="s">
        <v>61</v>
      </c>
      <c r="AF23" s="24" t="s">
        <v>62</v>
      </c>
      <c r="AG23" s="130" t="s">
        <v>63</v>
      </c>
      <c r="AH23" s="130"/>
    </row>
    <row r="24" spans="2:34" x14ac:dyDescent="0.3">
      <c r="B24" s="115" t="s">
        <v>60</v>
      </c>
      <c r="C24" s="117"/>
      <c r="D24" s="33">
        <v>100</v>
      </c>
      <c r="E24" s="27">
        <v>50</v>
      </c>
      <c r="F24" s="25">
        <f>D24*E24</f>
        <v>5000</v>
      </c>
      <c r="H24" s="115" t="s">
        <v>60</v>
      </c>
      <c r="I24" s="117"/>
      <c r="J24" s="33">
        <v>132</v>
      </c>
      <c r="K24" s="27">
        <v>55</v>
      </c>
      <c r="L24" s="132">
        <f>J24*K24</f>
        <v>7260</v>
      </c>
      <c r="M24" s="132"/>
      <c r="O24" s="115" t="s">
        <v>60</v>
      </c>
      <c r="P24" s="117"/>
      <c r="Q24" s="33">
        <v>200</v>
      </c>
      <c r="R24" s="27">
        <v>65</v>
      </c>
      <c r="S24" s="132">
        <f>Q24*R24</f>
        <v>13000</v>
      </c>
      <c r="T24" s="132"/>
      <c r="V24" s="115" t="s">
        <v>60</v>
      </c>
      <c r="W24" s="117"/>
      <c r="X24" s="33">
        <v>300</v>
      </c>
      <c r="Y24" s="27">
        <v>80</v>
      </c>
      <c r="Z24" s="132">
        <f>X24*Y24</f>
        <v>24000</v>
      </c>
      <c r="AA24" s="132"/>
      <c r="AC24" s="115" t="s">
        <v>60</v>
      </c>
      <c r="AD24" s="117"/>
      <c r="AE24" s="33">
        <v>400</v>
      </c>
      <c r="AF24" s="27">
        <v>110</v>
      </c>
      <c r="AG24" s="132">
        <f>AE24*AF24</f>
        <v>44000</v>
      </c>
      <c r="AH24" s="132"/>
    </row>
    <row r="25" spans="2:34" x14ac:dyDescent="0.3">
      <c r="B25" s="115" t="s">
        <v>64</v>
      </c>
      <c r="C25" s="117"/>
      <c r="D25" s="33">
        <v>100</v>
      </c>
      <c r="E25" s="27">
        <v>100</v>
      </c>
      <c r="F25" s="25">
        <f>D25*E25</f>
        <v>10000</v>
      </c>
      <c r="H25" s="115" t="s">
        <v>64</v>
      </c>
      <c r="I25" s="117"/>
      <c r="J25" s="33">
        <v>135</v>
      </c>
      <c r="K25" s="27">
        <v>100</v>
      </c>
      <c r="L25" s="132">
        <f>J25*K25</f>
        <v>13500</v>
      </c>
      <c r="M25" s="132"/>
      <c r="O25" s="115" t="s">
        <v>64</v>
      </c>
      <c r="P25" s="117"/>
      <c r="Q25" s="33">
        <v>230</v>
      </c>
      <c r="R25" s="27">
        <v>110</v>
      </c>
      <c r="S25" s="132">
        <f>Q25*R25</f>
        <v>25300</v>
      </c>
      <c r="T25" s="132"/>
      <c r="V25" s="115" t="s">
        <v>64</v>
      </c>
      <c r="W25" s="117"/>
      <c r="X25" s="33">
        <v>330</v>
      </c>
      <c r="Y25" s="27">
        <v>125</v>
      </c>
      <c r="Z25" s="132">
        <f>X25*Y25</f>
        <v>41250</v>
      </c>
      <c r="AA25" s="132"/>
      <c r="AC25" s="115" t="s">
        <v>64</v>
      </c>
      <c r="AD25" s="117"/>
      <c r="AE25" s="33">
        <v>430</v>
      </c>
      <c r="AF25" s="27">
        <v>140</v>
      </c>
      <c r="AG25" s="132">
        <f>AE25*AF25</f>
        <v>60200</v>
      </c>
      <c r="AH25" s="132"/>
    </row>
    <row r="26" spans="2:34" x14ac:dyDescent="0.3">
      <c r="B26" s="115" t="s">
        <v>65</v>
      </c>
      <c r="C26" s="117"/>
      <c r="D26" s="33">
        <v>100</v>
      </c>
      <c r="E26" s="27">
        <v>100</v>
      </c>
      <c r="F26" s="25">
        <f>D26*E26</f>
        <v>10000</v>
      </c>
      <c r="H26" s="115" t="s">
        <v>65</v>
      </c>
      <c r="I26" s="117"/>
      <c r="J26" s="33">
        <v>160</v>
      </c>
      <c r="K26" s="27">
        <v>100</v>
      </c>
      <c r="L26" s="132">
        <f>J26*K26</f>
        <v>16000</v>
      </c>
      <c r="M26" s="132"/>
      <c r="O26" s="115" t="s">
        <v>65</v>
      </c>
      <c r="P26" s="117"/>
      <c r="Q26" s="33">
        <v>250</v>
      </c>
      <c r="R26" s="27">
        <v>110</v>
      </c>
      <c r="S26" s="132">
        <f>Q26*R26</f>
        <v>27500</v>
      </c>
      <c r="T26" s="132"/>
      <c r="V26" s="115" t="s">
        <v>65</v>
      </c>
      <c r="W26" s="117"/>
      <c r="X26" s="33">
        <v>350</v>
      </c>
      <c r="Y26" s="27">
        <v>125</v>
      </c>
      <c r="Z26" s="132">
        <f>X26*Y26</f>
        <v>43750</v>
      </c>
      <c r="AA26" s="132"/>
      <c r="AC26" s="115" t="s">
        <v>65</v>
      </c>
      <c r="AD26" s="117"/>
      <c r="AE26" s="33">
        <v>450</v>
      </c>
      <c r="AF26" s="27">
        <v>140</v>
      </c>
      <c r="AG26" s="132">
        <f>AE26*AF26</f>
        <v>63000</v>
      </c>
      <c r="AH26" s="132"/>
    </row>
    <row r="27" spans="2:34" x14ac:dyDescent="0.3">
      <c r="B27" s="115" t="s">
        <v>66</v>
      </c>
      <c r="C27" s="117"/>
      <c r="D27" s="33">
        <v>80</v>
      </c>
      <c r="E27" s="27">
        <v>80</v>
      </c>
      <c r="F27" s="25">
        <f>D27*E27</f>
        <v>6400</v>
      </c>
      <c r="H27" s="115" t="s">
        <v>66</v>
      </c>
      <c r="I27" s="117"/>
      <c r="J27" s="33">
        <v>150</v>
      </c>
      <c r="K27" s="27">
        <v>80</v>
      </c>
      <c r="L27" s="132">
        <f>J27*K27</f>
        <v>12000</v>
      </c>
      <c r="M27" s="132"/>
      <c r="O27" s="115" t="s">
        <v>66</v>
      </c>
      <c r="P27" s="117"/>
      <c r="Q27" s="33">
        <v>230</v>
      </c>
      <c r="R27" s="27">
        <v>100</v>
      </c>
      <c r="S27" s="132">
        <f>Q27*R27</f>
        <v>23000</v>
      </c>
      <c r="T27" s="132"/>
      <c r="V27" s="115" t="s">
        <v>66</v>
      </c>
      <c r="W27" s="117"/>
      <c r="X27" s="33">
        <v>330</v>
      </c>
      <c r="Y27" s="27">
        <v>110</v>
      </c>
      <c r="Z27" s="132">
        <f>X27*Y27</f>
        <v>36300</v>
      </c>
      <c r="AA27" s="132"/>
      <c r="AC27" s="115" t="s">
        <v>66</v>
      </c>
      <c r="AD27" s="117"/>
      <c r="AE27" s="33">
        <v>430</v>
      </c>
      <c r="AF27" s="27">
        <v>130</v>
      </c>
      <c r="AG27" s="132">
        <f>AE27*AF27</f>
        <v>55900</v>
      </c>
      <c r="AH27" s="132"/>
    </row>
    <row r="28" spans="2:34" x14ac:dyDescent="0.3">
      <c r="B28" s="115" t="s">
        <v>67</v>
      </c>
      <c r="C28" s="117"/>
      <c r="D28" s="33">
        <v>30</v>
      </c>
      <c r="E28" s="27">
        <v>60</v>
      </c>
      <c r="F28" s="25">
        <f>D28*E28</f>
        <v>1800</v>
      </c>
      <c r="H28" s="115" t="s">
        <v>67</v>
      </c>
      <c r="I28" s="117"/>
      <c r="J28" s="33">
        <v>55</v>
      </c>
      <c r="K28" s="27">
        <v>60</v>
      </c>
      <c r="L28" s="132">
        <f>J28*K28</f>
        <v>3300</v>
      </c>
      <c r="M28" s="132"/>
      <c r="O28" s="115" t="s">
        <v>67</v>
      </c>
      <c r="P28" s="117"/>
      <c r="Q28" s="33">
        <v>135</v>
      </c>
      <c r="R28" s="27">
        <v>70</v>
      </c>
      <c r="S28" s="132">
        <f>Q28*R28</f>
        <v>9450</v>
      </c>
      <c r="T28" s="132"/>
      <c r="V28" s="115" t="s">
        <v>67</v>
      </c>
      <c r="W28" s="117"/>
      <c r="X28" s="33">
        <v>235</v>
      </c>
      <c r="Y28" s="27">
        <v>90</v>
      </c>
      <c r="Z28" s="132">
        <f>X28*Y28</f>
        <v>21150</v>
      </c>
      <c r="AA28" s="132"/>
      <c r="AC28" s="115" t="s">
        <v>67</v>
      </c>
      <c r="AD28" s="117"/>
      <c r="AE28" s="33">
        <v>335</v>
      </c>
      <c r="AF28" s="27">
        <v>100</v>
      </c>
      <c r="AG28" s="132">
        <f>AE28*AF28</f>
        <v>33500</v>
      </c>
      <c r="AH28" s="132"/>
    </row>
    <row r="29" spans="2:34" x14ac:dyDescent="0.3">
      <c r="B29" s="111" t="s">
        <v>106</v>
      </c>
      <c r="C29" s="113"/>
      <c r="D29" s="34">
        <f>D30/12</f>
        <v>34.166666666666664</v>
      </c>
      <c r="E29" s="32">
        <f>E30/12</f>
        <v>32.5</v>
      </c>
      <c r="F29" s="35">
        <f>F30/12</f>
        <v>2766.6666666666665</v>
      </c>
      <c r="H29" s="111" t="s">
        <v>106</v>
      </c>
      <c r="I29" s="113"/>
      <c r="J29" s="34">
        <f>J30/12</f>
        <v>52.666666666666664</v>
      </c>
      <c r="K29" s="32">
        <f>K30/12</f>
        <v>32.916666666666664</v>
      </c>
      <c r="L29" s="119">
        <f>L30/12</f>
        <v>4338.333333333333</v>
      </c>
      <c r="M29" s="122"/>
      <c r="O29" s="111" t="s">
        <v>106</v>
      </c>
      <c r="P29" s="113"/>
      <c r="Q29" s="34">
        <f>Q30/12</f>
        <v>87.083333333333329</v>
      </c>
      <c r="R29" s="32">
        <f>R30/12</f>
        <v>37.916666666666664</v>
      </c>
      <c r="S29" s="119">
        <f>S30/12</f>
        <v>8187.5</v>
      </c>
      <c r="T29" s="122"/>
      <c r="V29" s="111" t="s">
        <v>106</v>
      </c>
      <c r="W29" s="113"/>
      <c r="X29" s="34">
        <f>X30/12</f>
        <v>128.75</v>
      </c>
      <c r="Y29" s="32">
        <f>Y30/12</f>
        <v>44.166666666666664</v>
      </c>
      <c r="Z29" s="119">
        <f>Z30/12</f>
        <v>13870.833333333334</v>
      </c>
      <c r="AA29" s="122"/>
      <c r="AC29" s="111" t="s">
        <v>106</v>
      </c>
      <c r="AD29" s="113"/>
      <c r="AE29" s="34">
        <f>AE30/12</f>
        <v>170.41666666666666</v>
      </c>
      <c r="AF29" s="32">
        <f>AF30/12</f>
        <v>51.666666666666664</v>
      </c>
      <c r="AG29" s="119">
        <f>AG30/12</f>
        <v>21383.333333333332</v>
      </c>
      <c r="AH29" s="122"/>
    </row>
    <row r="30" spans="2:34" x14ac:dyDescent="0.3">
      <c r="B30" s="127" t="s">
        <v>68</v>
      </c>
      <c r="C30" s="127"/>
      <c r="D30" s="34">
        <f>SUM(D24+D25+D26+D27+D28)</f>
        <v>410</v>
      </c>
      <c r="E30" s="32">
        <f>SUM(E24+E25+E26+E27+E28)</f>
        <v>390</v>
      </c>
      <c r="F30" s="35">
        <f>SUM(F24+F26+F25+F27+F28)</f>
        <v>33200</v>
      </c>
      <c r="H30" s="127" t="s">
        <v>68</v>
      </c>
      <c r="I30" s="127"/>
      <c r="J30" s="34">
        <f>SUM(J24+J25+J26+J27+J28)</f>
        <v>632</v>
      </c>
      <c r="K30" s="32">
        <f>SUM(K24+K25+K26+K27+K28)</f>
        <v>395</v>
      </c>
      <c r="L30" s="128">
        <f>SUM(L24+L26+L25+L27+L28)</f>
        <v>52060</v>
      </c>
      <c r="M30" s="128"/>
      <c r="O30" s="127" t="s">
        <v>68</v>
      </c>
      <c r="P30" s="127"/>
      <c r="Q30" s="34">
        <f>SUM(Q24+Q25+Q26+Q27+Q28)</f>
        <v>1045</v>
      </c>
      <c r="R30" s="32">
        <f>SUM(R24+R25+R26+R27+R28)</f>
        <v>455</v>
      </c>
      <c r="S30" s="128">
        <f>SUM(S24+S26+S25+S27+S28)</f>
        <v>98250</v>
      </c>
      <c r="T30" s="128"/>
      <c r="V30" s="127" t="s">
        <v>68</v>
      </c>
      <c r="W30" s="127"/>
      <c r="X30" s="34">
        <f>SUM(X24+X25+X26+X27+X28)</f>
        <v>1545</v>
      </c>
      <c r="Y30" s="32">
        <f>SUM(Y24+Y25+Y26+Y27+Y28)</f>
        <v>530</v>
      </c>
      <c r="Z30" s="128">
        <f>SUM(Z24+Z26+Z25+Z27+Z28)</f>
        <v>166450</v>
      </c>
      <c r="AA30" s="128"/>
      <c r="AC30" s="127" t="s">
        <v>68</v>
      </c>
      <c r="AD30" s="127"/>
      <c r="AE30" s="34">
        <f>SUM(AE24+AE25+AE26+AE27+AE28)</f>
        <v>2045</v>
      </c>
      <c r="AF30" s="32">
        <f>SUM(AF24+AF25+AF26+AF27+AF28)</f>
        <v>620</v>
      </c>
      <c r="AG30" s="128">
        <f>SUM(AG24+AG26+AG25+AG27+AG28)</f>
        <v>256600</v>
      </c>
      <c r="AH30" s="128"/>
    </row>
    <row r="33" spans="2:34" x14ac:dyDescent="0.3">
      <c r="B33" s="120" t="s">
        <v>53</v>
      </c>
      <c r="C33" s="120"/>
      <c r="D33" s="120"/>
      <c r="E33" s="120"/>
      <c r="F33" s="120"/>
      <c r="H33" s="133" t="s">
        <v>53</v>
      </c>
      <c r="I33" s="118"/>
      <c r="J33" s="118"/>
      <c r="K33" s="118"/>
      <c r="L33" s="118"/>
      <c r="M33" s="118"/>
      <c r="O33" s="133" t="s">
        <v>53</v>
      </c>
      <c r="P33" s="118"/>
      <c r="Q33" s="118"/>
      <c r="R33" s="118"/>
      <c r="S33" s="118"/>
      <c r="T33" s="118"/>
      <c r="V33" s="133" t="s">
        <v>53</v>
      </c>
      <c r="W33" s="118"/>
      <c r="X33" s="118"/>
      <c r="Y33" s="118"/>
      <c r="Z33" s="118"/>
      <c r="AA33" s="118"/>
      <c r="AC33" s="133" t="s">
        <v>53</v>
      </c>
      <c r="AD33" s="118"/>
      <c r="AE33" s="118"/>
      <c r="AF33" s="118"/>
      <c r="AG33" s="118"/>
      <c r="AH33" s="118"/>
    </row>
    <row r="34" spans="2:34" x14ac:dyDescent="0.3">
      <c r="B34" s="130" t="s">
        <v>3</v>
      </c>
      <c r="C34" s="130"/>
      <c r="D34" s="30" t="s">
        <v>89</v>
      </c>
      <c r="E34" s="130" t="s">
        <v>5</v>
      </c>
      <c r="F34" s="130"/>
      <c r="H34" s="123" t="s">
        <v>3</v>
      </c>
      <c r="I34" s="129"/>
      <c r="J34" s="124"/>
      <c r="K34" s="24" t="s">
        <v>89</v>
      </c>
      <c r="L34" s="123" t="s">
        <v>5</v>
      </c>
      <c r="M34" s="124"/>
      <c r="O34" s="123" t="s">
        <v>3</v>
      </c>
      <c r="P34" s="129"/>
      <c r="Q34" s="124"/>
      <c r="R34" s="24" t="s">
        <v>89</v>
      </c>
      <c r="S34" s="123" t="s">
        <v>5</v>
      </c>
      <c r="T34" s="124"/>
      <c r="V34" s="123" t="s">
        <v>3</v>
      </c>
      <c r="W34" s="129"/>
      <c r="X34" s="124"/>
      <c r="Y34" s="24" t="s">
        <v>89</v>
      </c>
      <c r="Z34" s="123" t="s">
        <v>5</v>
      </c>
      <c r="AA34" s="124"/>
      <c r="AC34" s="123" t="s">
        <v>3</v>
      </c>
      <c r="AD34" s="129"/>
      <c r="AE34" s="124"/>
      <c r="AF34" s="24" t="s">
        <v>89</v>
      </c>
      <c r="AG34" s="123" t="s">
        <v>5</v>
      </c>
      <c r="AH34" s="124"/>
    </row>
    <row r="35" spans="2:34" x14ac:dyDescent="0.3">
      <c r="B35" s="131" t="s">
        <v>69</v>
      </c>
      <c r="C35" s="131"/>
      <c r="D35" s="29">
        <v>50</v>
      </c>
      <c r="E35" s="125">
        <v>100</v>
      </c>
      <c r="F35" s="126"/>
      <c r="H35" s="115" t="s">
        <v>69</v>
      </c>
      <c r="I35" s="116"/>
      <c r="J35" s="117"/>
      <c r="K35" s="33">
        <v>90</v>
      </c>
      <c r="L35" s="125">
        <v>100</v>
      </c>
      <c r="M35" s="126"/>
      <c r="O35" s="115" t="s">
        <v>69</v>
      </c>
      <c r="P35" s="116"/>
      <c r="Q35" s="117"/>
      <c r="R35" s="33">
        <v>150</v>
      </c>
      <c r="S35" s="125">
        <v>100</v>
      </c>
      <c r="T35" s="126"/>
      <c r="V35" s="115" t="s">
        <v>69</v>
      </c>
      <c r="W35" s="116"/>
      <c r="X35" s="117"/>
      <c r="Y35" s="33">
        <v>190</v>
      </c>
      <c r="Z35" s="125">
        <v>120</v>
      </c>
      <c r="AA35" s="126"/>
      <c r="AC35" s="115" t="s">
        <v>69</v>
      </c>
      <c r="AD35" s="116"/>
      <c r="AE35" s="117"/>
      <c r="AF35" s="33">
        <v>250</v>
      </c>
      <c r="AG35" s="125">
        <v>150</v>
      </c>
      <c r="AH35" s="126"/>
    </row>
    <row r="36" spans="2:34" x14ac:dyDescent="0.3">
      <c r="B36" s="131" t="s">
        <v>70</v>
      </c>
      <c r="C36" s="131"/>
      <c r="D36" s="29">
        <v>55</v>
      </c>
      <c r="E36" s="125">
        <v>175</v>
      </c>
      <c r="F36" s="126"/>
      <c r="H36" s="115" t="s">
        <v>70</v>
      </c>
      <c r="I36" s="116"/>
      <c r="J36" s="117"/>
      <c r="K36" s="33">
        <v>95</v>
      </c>
      <c r="L36" s="125">
        <v>175</v>
      </c>
      <c r="M36" s="126"/>
      <c r="O36" s="115" t="s">
        <v>70</v>
      </c>
      <c r="P36" s="116"/>
      <c r="Q36" s="117"/>
      <c r="R36" s="33">
        <v>200</v>
      </c>
      <c r="S36" s="125">
        <v>175</v>
      </c>
      <c r="T36" s="126"/>
      <c r="V36" s="115" t="s">
        <v>70</v>
      </c>
      <c r="W36" s="116"/>
      <c r="X36" s="117"/>
      <c r="Y36" s="33">
        <v>260</v>
      </c>
      <c r="Z36" s="125">
        <v>190</v>
      </c>
      <c r="AA36" s="126"/>
      <c r="AC36" s="115" t="s">
        <v>70</v>
      </c>
      <c r="AD36" s="116"/>
      <c r="AE36" s="117"/>
      <c r="AF36" s="33">
        <v>500</v>
      </c>
      <c r="AG36" s="125">
        <v>200</v>
      </c>
      <c r="AH36" s="126"/>
    </row>
    <row r="37" spans="2:34" x14ac:dyDescent="0.3">
      <c r="B37" s="115" t="s">
        <v>90</v>
      </c>
      <c r="C37" s="116"/>
      <c r="D37" s="26">
        <v>50</v>
      </c>
      <c r="E37" s="125">
        <f>E35*D37</f>
        <v>5000</v>
      </c>
      <c r="F37" s="117"/>
      <c r="H37" s="115" t="s">
        <v>90</v>
      </c>
      <c r="I37" s="116"/>
      <c r="J37" s="117"/>
      <c r="K37" s="33">
        <v>90</v>
      </c>
      <c r="L37" s="125">
        <f>L35*K37</f>
        <v>9000</v>
      </c>
      <c r="M37" s="117"/>
      <c r="O37" s="115" t="s">
        <v>90</v>
      </c>
      <c r="P37" s="116"/>
      <c r="Q37" s="117"/>
      <c r="R37" s="33">
        <v>150</v>
      </c>
      <c r="S37" s="125">
        <f>S35*R37</f>
        <v>15000</v>
      </c>
      <c r="T37" s="117"/>
      <c r="V37" s="115" t="s">
        <v>90</v>
      </c>
      <c r="W37" s="116"/>
      <c r="X37" s="117"/>
      <c r="Y37" s="33">
        <v>190</v>
      </c>
      <c r="Z37" s="125">
        <f>Z35*Y37</f>
        <v>22800</v>
      </c>
      <c r="AA37" s="117"/>
      <c r="AC37" s="115" t="s">
        <v>90</v>
      </c>
      <c r="AD37" s="116"/>
      <c r="AE37" s="117"/>
      <c r="AF37" s="33">
        <v>250</v>
      </c>
      <c r="AG37" s="125">
        <f>AG35*AF37</f>
        <v>37500</v>
      </c>
      <c r="AH37" s="117"/>
    </row>
    <row r="38" spans="2:34" x14ac:dyDescent="0.3">
      <c r="B38" s="115" t="s">
        <v>91</v>
      </c>
      <c r="C38" s="116"/>
      <c r="D38" s="26">
        <v>55</v>
      </c>
      <c r="E38" s="125">
        <f>E36*D38</f>
        <v>9625</v>
      </c>
      <c r="F38" s="117"/>
      <c r="H38" s="115" t="s">
        <v>91</v>
      </c>
      <c r="I38" s="116"/>
      <c r="J38" s="117"/>
      <c r="K38" s="33">
        <v>95</v>
      </c>
      <c r="L38" s="125">
        <f>L36*K38</f>
        <v>16625</v>
      </c>
      <c r="M38" s="117"/>
      <c r="O38" s="115" t="s">
        <v>91</v>
      </c>
      <c r="P38" s="116"/>
      <c r="Q38" s="117"/>
      <c r="R38" s="33">
        <v>200</v>
      </c>
      <c r="S38" s="125">
        <f>S36*R38</f>
        <v>35000</v>
      </c>
      <c r="T38" s="117"/>
      <c r="V38" s="115" t="s">
        <v>91</v>
      </c>
      <c r="W38" s="116"/>
      <c r="X38" s="117"/>
      <c r="Y38" s="33">
        <v>260</v>
      </c>
      <c r="Z38" s="125">
        <f>Z36*Y38</f>
        <v>49400</v>
      </c>
      <c r="AA38" s="117"/>
      <c r="AC38" s="115" t="s">
        <v>91</v>
      </c>
      <c r="AD38" s="116"/>
      <c r="AE38" s="117"/>
      <c r="AF38" s="33">
        <v>500</v>
      </c>
      <c r="AG38" s="125">
        <f>AG36*AF38</f>
        <v>100000</v>
      </c>
      <c r="AH38" s="117"/>
    </row>
    <row r="39" spans="2:34" x14ac:dyDescent="0.3">
      <c r="B39" s="111" t="s">
        <v>106</v>
      </c>
      <c r="C39" s="113"/>
      <c r="D39" s="36">
        <f>D40/12</f>
        <v>25</v>
      </c>
      <c r="E39" s="119">
        <f>E40/12</f>
        <v>1218.75</v>
      </c>
      <c r="F39" s="122"/>
      <c r="H39" s="111" t="s">
        <v>106</v>
      </c>
      <c r="I39" s="112"/>
      <c r="J39" s="113"/>
      <c r="K39" s="36">
        <f>K40/12</f>
        <v>15.416666666666666</v>
      </c>
      <c r="L39" s="119">
        <f>L40/12</f>
        <v>2135.4166666666665</v>
      </c>
      <c r="M39" s="113"/>
      <c r="O39" s="111" t="s">
        <v>106</v>
      </c>
      <c r="P39" s="112"/>
      <c r="Q39" s="113"/>
      <c r="R39" s="46">
        <f>R40/12</f>
        <v>29.166666666666668</v>
      </c>
      <c r="S39" s="119">
        <f>S40/12</f>
        <v>4166.666666666667</v>
      </c>
      <c r="T39" s="113"/>
      <c r="V39" s="111" t="s">
        <v>106</v>
      </c>
      <c r="W39" s="112"/>
      <c r="X39" s="113"/>
      <c r="Y39" s="46">
        <f>Y40/12</f>
        <v>37.5</v>
      </c>
      <c r="Z39" s="119">
        <f>Z40/12</f>
        <v>6016.666666666667</v>
      </c>
      <c r="AA39" s="113"/>
      <c r="AC39" s="111" t="s">
        <v>106</v>
      </c>
      <c r="AD39" s="112"/>
      <c r="AE39" s="113"/>
      <c r="AF39" s="46">
        <f>AF40/12</f>
        <v>62.5</v>
      </c>
      <c r="AG39" s="119">
        <f>AG40/12</f>
        <v>11458.333333333334</v>
      </c>
      <c r="AH39" s="113"/>
    </row>
    <row r="40" spans="2:34" x14ac:dyDescent="0.3">
      <c r="B40" s="127" t="s">
        <v>68</v>
      </c>
      <c r="C40" s="127"/>
      <c r="D40" s="36">
        <v>300</v>
      </c>
      <c r="E40" s="128">
        <f>E37+E38</f>
        <v>14625</v>
      </c>
      <c r="F40" s="128"/>
      <c r="H40" s="111" t="s">
        <v>68</v>
      </c>
      <c r="I40" s="112"/>
      <c r="J40" s="113"/>
      <c r="K40" s="44">
        <f>K38+K37</f>
        <v>185</v>
      </c>
      <c r="L40" s="119">
        <f>L38+L37</f>
        <v>25625</v>
      </c>
      <c r="M40" s="113"/>
      <c r="O40" s="111" t="s">
        <v>68</v>
      </c>
      <c r="P40" s="112"/>
      <c r="Q40" s="113"/>
      <c r="R40" s="44">
        <f>R38+R37</f>
        <v>350</v>
      </c>
      <c r="S40" s="119">
        <f>S38+S37</f>
        <v>50000</v>
      </c>
      <c r="T40" s="113"/>
      <c r="V40" s="111" t="s">
        <v>68</v>
      </c>
      <c r="W40" s="112"/>
      <c r="X40" s="113"/>
      <c r="Y40" s="44">
        <f>Y38+Y37</f>
        <v>450</v>
      </c>
      <c r="Z40" s="119">
        <f>Z38+Z37</f>
        <v>72200</v>
      </c>
      <c r="AA40" s="113"/>
      <c r="AC40" s="111" t="s">
        <v>68</v>
      </c>
      <c r="AD40" s="112"/>
      <c r="AE40" s="113"/>
      <c r="AF40" s="44">
        <f>AF38+AF37</f>
        <v>750</v>
      </c>
      <c r="AG40" s="119">
        <f>AG38+AG37</f>
        <v>137500</v>
      </c>
      <c r="AH40" s="113"/>
    </row>
    <row r="41" spans="2:34" x14ac:dyDescent="0.3">
      <c r="B41" s="38"/>
      <c r="C41" s="38"/>
      <c r="D41" s="38"/>
      <c r="E41" s="39"/>
      <c r="F41" s="38"/>
    </row>
    <row r="43" spans="2:34" x14ac:dyDescent="0.3">
      <c r="B43" s="120" t="s">
        <v>76</v>
      </c>
      <c r="C43" s="120"/>
      <c r="D43" s="120"/>
      <c r="E43" s="120"/>
      <c r="F43" s="120"/>
      <c r="H43" s="120" t="s">
        <v>76</v>
      </c>
      <c r="I43" s="120"/>
      <c r="J43" s="120"/>
      <c r="K43" s="120"/>
      <c r="L43" s="120"/>
      <c r="M43" s="120"/>
      <c r="O43" s="120" t="s">
        <v>76</v>
      </c>
      <c r="P43" s="120"/>
      <c r="Q43" s="120"/>
      <c r="R43" s="120"/>
      <c r="S43" s="120"/>
      <c r="T43" s="120"/>
      <c r="V43" s="120" t="s">
        <v>76</v>
      </c>
      <c r="W43" s="120"/>
      <c r="X43" s="120"/>
      <c r="Y43" s="120"/>
      <c r="Z43" s="120"/>
      <c r="AA43" s="120"/>
      <c r="AC43" s="120" t="s">
        <v>76</v>
      </c>
      <c r="AD43" s="120"/>
      <c r="AE43" s="120"/>
      <c r="AF43" s="120"/>
      <c r="AG43" s="120"/>
      <c r="AH43" s="120"/>
    </row>
    <row r="44" spans="2:34" x14ac:dyDescent="0.3">
      <c r="B44" s="123" t="s">
        <v>3</v>
      </c>
      <c r="C44" s="129"/>
      <c r="D44" s="24" t="s">
        <v>89</v>
      </c>
      <c r="E44" s="24" t="s">
        <v>5</v>
      </c>
      <c r="F44" s="24" t="s">
        <v>105</v>
      </c>
      <c r="H44" s="123" t="s">
        <v>3</v>
      </c>
      <c r="I44" s="129"/>
      <c r="J44" s="24" t="s">
        <v>89</v>
      </c>
      <c r="K44" s="24" t="s">
        <v>5</v>
      </c>
      <c r="L44" s="130" t="s">
        <v>105</v>
      </c>
      <c r="M44" s="130"/>
      <c r="O44" s="123" t="s">
        <v>3</v>
      </c>
      <c r="P44" s="129"/>
      <c r="Q44" s="24" t="s">
        <v>89</v>
      </c>
      <c r="R44" s="24" t="s">
        <v>5</v>
      </c>
      <c r="S44" s="130" t="s">
        <v>105</v>
      </c>
      <c r="T44" s="130"/>
      <c r="V44" s="123" t="s">
        <v>3</v>
      </c>
      <c r="W44" s="129"/>
      <c r="X44" s="24" t="s">
        <v>89</v>
      </c>
      <c r="Y44" s="24" t="s">
        <v>5</v>
      </c>
      <c r="Z44" s="130" t="s">
        <v>105</v>
      </c>
      <c r="AA44" s="130"/>
      <c r="AC44" s="123" t="s">
        <v>3</v>
      </c>
      <c r="AD44" s="129"/>
      <c r="AE44" s="24" t="s">
        <v>89</v>
      </c>
      <c r="AF44" s="24" t="s">
        <v>5</v>
      </c>
      <c r="AG44" s="130" t="s">
        <v>105</v>
      </c>
      <c r="AH44" s="130"/>
    </row>
    <row r="45" spans="2:34" x14ac:dyDescent="0.3">
      <c r="B45" s="131" t="s">
        <v>71</v>
      </c>
      <c r="C45" s="131"/>
      <c r="D45" s="29">
        <v>30</v>
      </c>
      <c r="E45" s="27">
        <v>110</v>
      </c>
      <c r="F45" s="41">
        <f>E45*D45</f>
        <v>3300</v>
      </c>
      <c r="H45" s="131" t="s">
        <v>71</v>
      </c>
      <c r="I45" s="131"/>
      <c r="J45" s="29">
        <v>70</v>
      </c>
      <c r="K45" s="27">
        <v>110</v>
      </c>
      <c r="L45" s="132">
        <f>K45*J45</f>
        <v>7700</v>
      </c>
      <c r="M45" s="132"/>
      <c r="O45" s="131" t="s">
        <v>77</v>
      </c>
      <c r="P45" s="131"/>
      <c r="Q45" s="29">
        <v>130</v>
      </c>
      <c r="R45" s="27">
        <v>120</v>
      </c>
      <c r="S45" s="132">
        <f>R45*Q45</f>
        <v>15600</v>
      </c>
      <c r="T45" s="132"/>
      <c r="V45" s="131" t="s">
        <v>82</v>
      </c>
      <c r="W45" s="131"/>
      <c r="X45" s="29">
        <v>180</v>
      </c>
      <c r="Y45" s="27">
        <v>135</v>
      </c>
      <c r="Z45" s="132">
        <f>Y45*X45</f>
        <v>24300</v>
      </c>
      <c r="AA45" s="132"/>
      <c r="AC45" s="131" t="s">
        <v>84</v>
      </c>
      <c r="AD45" s="131"/>
      <c r="AE45" s="29">
        <v>250</v>
      </c>
      <c r="AF45" s="27">
        <v>150</v>
      </c>
      <c r="AG45" s="132">
        <f>AF45*AE45</f>
        <v>37500</v>
      </c>
      <c r="AH45" s="132"/>
    </row>
    <row r="46" spans="2:34" x14ac:dyDescent="0.3">
      <c r="B46" s="131" t="s">
        <v>72</v>
      </c>
      <c r="C46" s="131"/>
      <c r="D46" s="29">
        <v>35</v>
      </c>
      <c r="E46" s="27">
        <v>215</v>
      </c>
      <c r="F46" s="41">
        <f>E46*D46</f>
        <v>7525</v>
      </c>
      <c r="H46" s="131" t="s">
        <v>72</v>
      </c>
      <c r="I46" s="131"/>
      <c r="J46" s="29">
        <v>125</v>
      </c>
      <c r="K46" s="27">
        <v>215</v>
      </c>
      <c r="L46" s="132">
        <f>K46*J46</f>
        <v>26875</v>
      </c>
      <c r="M46" s="132"/>
      <c r="O46" s="131" t="s">
        <v>78</v>
      </c>
      <c r="P46" s="131"/>
      <c r="Q46" s="29">
        <v>180</v>
      </c>
      <c r="R46" s="27">
        <v>230</v>
      </c>
      <c r="S46" s="132">
        <f>R46*Q46</f>
        <v>41400</v>
      </c>
      <c r="T46" s="132"/>
      <c r="V46" s="131" t="s">
        <v>78</v>
      </c>
      <c r="W46" s="131"/>
      <c r="X46" s="29">
        <v>250</v>
      </c>
      <c r="Y46" s="27">
        <v>280</v>
      </c>
      <c r="Z46" s="132">
        <f>Y46*X46</f>
        <v>70000</v>
      </c>
      <c r="AA46" s="132"/>
      <c r="AC46" s="131" t="s">
        <v>85</v>
      </c>
      <c r="AD46" s="131"/>
      <c r="AE46" s="29">
        <v>500</v>
      </c>
      <c r="AF46" s="27">
        <v>310</v>
      </c>
      <c r="AG46" s="132">
        <f>AF46*AE46</f>
        <v>155000</v>
      </c>
      <c r="AH46" s="132"/>
    </row>
    <row r="47" spans="2:34" x14ac:dyDescent="0.3">
      <c r="B47" s="131" t="s">
        <v>73</v>
      </c>
      <c r="C47" s="131"/>
      <c r="D47" s="29">
        <v>30</v>
      </c>
      <c r="E47" s="27">
        <v>160</v>
      </c>
      <c r="F47" s="41">
        <f>E47*D47</f>
        <v>4800</v>
      </c>
      <c r="H47" s="131" t="s">
        <v>73</v>
      </c>
      <c r="I47" s="131"/>
      <c r="J47" s="29">
        <v>125</v>
      </c>
      <c r="K47" s="27">
        <v>160</v>
      </c>
      <c r="L47" s="132">
        <f>K47*J47</f>
        <v>20000</v>
      </c>
      <c r="M47" s="132"/>
      <c r="O47" s="131" t="s">
        <v>79</v>
      </c>
      <c r="P47" s="131"/>
      <c r="Q47" s="29">
        <v>195</v>
      </c>
      <c r="R47" s="27">
        <v>180</v>
      </c>
      <c r="S47" s="132">
        <f>R47*Q47</f>
        <v>35100</v>
      </c>
      <c r="T47" s="132"/>
      <c r="V47" s="131" t="s">
        <v>79</v>
      </c>
      <c r="W47" s="131"/>
      <c r="X47" s="29">
        <v>300</v>
      </c>
      <c r="Y47" s="27">
        <v>200</v>
      </c>
      <c r="Z47" s="132">
        <f>Y47*X47</f>
        <v>60000</v>
      </c>
      <c r="AA47" s="132"/>
      <c r="AC47" s="131" t="s">
        <v>86</v>
      </c>
      <c r="AD47" s="131"/>
      <c r="AE47" s="29">
        <v>650</v>
      </c>
      <c r="AF47" s="27">
        <v>250</v>
      </c>
      <c r="AG47" s="132">
        <f>AF47*AE47</f>
        <v>162500</v>
      </c>
      <c r="AH47" s="132"/>
    </row>
    <row r="48" spans="2:34" x14ac:dyDescent="0.3">
      <c r="B48" s="131" t="s">
        <v>74</v>
      </c>
      <c r="C48" s="131"/>
      <c r="D48" s="29">
        <v>25</v>
      </c>
      <c r="E48" s="27">
        <v>90</v>
      </c>
      <c r="F48" s="41">
        <f>E48*D48</f>
        <v>2250</v>
      </c>
      <c r="H48" s="131" t="s">
        <v>74</v>
      </c>
      <c r="I48" s="131"/>
      <c r="J48" s="29">
        <v>85</v>
      </c>
      <c r="K48" s="27">
        <v>90</v>
      </c>
      <c r="L48" s="132">
        <f>K48*J48</f>
        <v>7650</v>
      </c>
      <c r="M48" s="132"/>
      <c r="O48" s="131" t="s">
        <v>80</v>
      </c>
      <c r="P48" s="131"/>
      <c r="Q48" s="29">
        <v>160</v>
      </c>
      <c r="R48" s="27">
        <v>110</v>
      </c>
      <c r="S48" s="132">
        <f>R48*Q48</f>
        <v>17600</v>
      </c>
      <c r="T48" s="132"/>
      <c r="V48" s="131" t="s">
        <v>83</v>
      </c>
      <c r="W48" s="131"/>
      <c r="X48" s="29">
        <v>185</v>
      </c>
      <c r="Y48" s="27">
        <v>120</v>
      </c>
      <c r="Z48" s="132">
        <f>Y48*X48</f>
        <v>22200</v>
      </c>
      <c r="AA48" s="132"/>
      <c r="AC48" s="131" t="s">
        <v>87</v>
      </c>
      <c r="AD48" s="131"/>
      <c r="AE48" s="29">
        <v>350</v>
      </c>
      <c r="AF48" s="27">
        <v>160</v>
      </c>
      <c r="AG48" s="132">
        <f>AF48*AE48</f>
        <v>56000</v>
      </c>
      <c r="AH48" s="132"/>
    </row>
    <row r="49" spans="2:34" x14ac:dyDescent="0.3">
      <c r="B49" s="131" t="s">
        <v>75</v>
      </c>
      <c r="C49" s="131"/>
      <c r="D49" s="29">
        <v>20</v>
      </c>
      <c r="E49" s="27">
        <v>130</v>
      </c>
      <c r="F49" s="41">
        <f>E49*D49</f>
        <v>2600</v>
      </c>
      <c r="H49" s="131" t="s">
        <v>75</v>
      </c>
      <c r="I49" s="131"/>
      <c r="J49" s="29">
        <v>55</v>
      </c>
      <c r="K49" s="27">
        <v>130</v>
      </c>
      <c r="L49" s="132">
        <f>K49*J49</f>
        <v>7150</v>
      </c>
      <c r="M49" s="132"/>
      <c r="O49" s="131" t="s">
        <v>81</v>
      </c>
      <c r="P49" s="131"/>
      <c r="Q49" s="29">
        <v>100</v>
      </c>
      <c r="R49" s="27">
        <v>150</v>
      </c>
      <c r="S49" s="132">
        <f>R49*Q49</f>
        <v>15000</v>
      </c>
      <c r="T49" s="132"/>
      <c r="V49" s="131" t="s">
        <v>81</v>
      </c>
      <c r="W49" s="131"/>
      <c r="X49" s="29">
        <v>140</v>
      </c>
      <c r="Y49" s="27">
        <v>150</v>
      </c>
      <c r="Z49" s="132">
        <f>Y49*X49</f>
        <v>21000</v>
      </c>
      <c r="AA49" s="132"/>
      <c r="AC49" s="131" t="s">
        <v>88</v>
      </c>
      <c r="AD49" s="131"/>
      <c r="AE49" s="29">
        <v>220</v>
      </c>
      <c r="AF49" s="27">
        <v>170</v>
      </c>
      <c r="AG49" s="132">
        <f>AF49*AE49</f>
        <v>37400</v>
      </c>
      <c r="AH49" s="132"/>
    </row>
    <row r="50" spans="2:34" x14ac:dyDescent="0.3">
      <c r="B50" s="127" t="s">
        <v>106</v>
      </c>
      <c r="C50" s="127"/>
      <c r="D50" s="31">
        <f>SUM(D45+D46+D47+D48+D49)</f>
        <v>140</v>
      </c>
      <c r="E50" s="32">
        <f>SUM(E45+E46+E47+E48+E49)</f>
        <v>705</v>
      </c>
      <c r="F50" s="42">
        <f>F51/12</f>
        <v>1706.25</v>
      </c>
      <c r="H50" s="127" t="s">
        <v>106</v>
      </c>
      <c r="I50" s="127"/>
      <c r="J50" s="31">
        <f>SUM(J45+J46+J47+J48+J49)</f>
        <v>460</v>
      </c>
      <c r="K50" s="32">
        <f>SUM(K45+K46+K47+K48+K49)</f>
        <v>705</v>
      </c>
      <c r="L50" s="128">
        <f>L51/12</f>
        <v>5781.25</v>
      </c>
      <c r="M50" s="128"/>
      <c r="O50" s="127" t="s">
        <v>106</v>
      </c>
      <c r="P50" s="127"/>
      <c r="Q50" s="31">
        <f>SUM(Q45+Q46+Q47+Q48+Q49)</f>
        <v>765</v>
      </c>
      <c r="R50" s="32">
        <f>SUM(R45+R46+R47+R48+R49)</f>
        <v>790</v>
      </c>
      <c r="S50" s="128">
        <f>S51/12</f>
        <v>10391.666666666666</v>
      </c>
      <c r="T50" s="128"/>
      <c r="V50" s="127" t="s">
        <v>106</v>
      </c>
      <c r="W50" s="127"/>
      <c r="X50" s="31">
        <f>SUM(X45+X46+X47+X48+X49)</f>
        <v>1055</v>
      </c>
      <c r="Y50" s="32">
        <f>SUM(Y45+Y46+Y47+Y48+Y49)</f>
        <v>885</v>
      </c>
      <c r="Z50" s="128">
        <f>Z51/12</f>
        <v>16458.333333333332</v>
      </c>
      <c r="AA50" s="128"/>
      <c r="AC50" s="127" t="s">
        <v>106</v>
      </c>
      <c r="AD50" s="127"/>
      <c r="AE50" s="31">
        <f>SUM(AE45+AE46+AE47+AE48+AE49)</f>
        <v>1970</v>
      </c>
      <c r="AF50" s="32">
        <f>SUM(AF45+AF46+AF47+AF48+AF49)</f>
        <v>1040</v>
      </c>
      <c r="AG50" s="128">
        <f>AG51/12</f>
        <v>37366.666666666664</v>
      </c>
      <c r="AH50" s="128"/>
    </row>
    <row r="51" spans="2:34" x14ac:dyDescent="0.3">
      <c r="B51" s="111" t="s">
        <v>68</v>
      </c>
      <c r="C51" s="113"/>
      <c r="D51" s="36">
        <f>D50*12</f>
        <v>1680</v>
      </c>
      <c r="E51" s="32">
        <f>E50*12</f>
        <v>8460</v>
      </c>
      <c r="F51" s="35">
        <f>SUM(F45+F46+F47+F48+F49)</f>
        <v>20475</v>
      </c>
      <c r="H51" s="111" t="s">
        <v>68</v>
      </c>
      <c r="I51" s="113"/>
      <c r="J51" s="36">
        <f>J50*12</f>
        <v>5520</v>
      </c>
      <c r="K51" s="32">
        <f>K50*12</f>
        <v>8460</v>
      </c>
      <c r="L51" s="128">
        <f>SUM(L45+L46+L47+L48+L49)</f>
        <v>69375</v>
      </c>
      <c r="M51" s="128"/>
      <c r="O51" s="111" t="s">
        <v>68</v>
      </c>
      <c r="P51" s="113"/>
      <c r="Q51" s="36">
        <f>Q50*12</f>
        <v>9180</v>
      </c>
      <c r="R51" s="32">
        <f>R50*12</f>
        <v>9480</v>
      </c>
      <c r="S51" s="128">
        <f>SUM(S45+S46+S47+S48+S49)</f>
        <v>124700</v>
      </c>
      <c r="T51" s="128"/>
      <c r="V51" s="111" t="s">
        <v>68</v>
      </c>
      <c r="W51" s="113"/>
      <c r="X51" s="36">
        <f>X50*12</f>
        <v>12660</v>
      </c>
      <c r="Y51" s="32">
        <f>Y50*12</f>
        <v>10620</v>
      </c>
      <c r="Z51" s="128">
        <f>SUM(Z45+Z46+Z47+Z48+Z49)</f>
        <v>197500</v>
      </c>
      <c r="AA51" s="128"/>
      <c r="AC51" s="111" t="s">
        <v>68</v>
      </c>
      <c r="AD51" s="113"/>
      <c r="AE51" s="36">
        <f>AE50*12</f>
        <v>23640</v>
      </c>
      <c r="AF51" s="32">
        <f>AF50*12</f>
        <v>12480</v>
      </c>
      <c r="AG51" s="128">
        <f>SUM(AG45+AG46+AG47+AG48+AG49)</f>
        <v>448400</v>
      </c>
      <c r="AH51" s="128"/>
    </row>
    <row r="55" spans="2:34" x14ac:dyDescent="0.3">
      <c r="B55" s="118" t="s">
        <v>92</v>
      </c>
      <c r="C55" s="118"/>
      <c r="D55" s="118"/>
      <c r="E55" s="118"/>
      <c r="F55" s="118"/>
      <c r="H55" s="121" t="s">
        <v>92</v>
      </c>
      <c r="I55" s="121"/>
      <c r="J55" s="121"/>
      <c r="K55" s="121"/>
      <c r="L55" s="121"/>
      <c r="O55" s="121" t="s">
        <v>92</v>
      </c>
      <c r="P55" s="121"/>
      <c r="Q55" s="121"/>
      <c r="R55" s="121"/>
      <c r="S55" s="121"/>
      <c r="V55" s="121" t="s">
        <v>92</v>
      </c>
      <c r="W55" s="121"/>
      <c r="X55" s="121"/>
      <c r="Y55" s="121"/>
      <c r="Z55" s="121"/>
      <c r="AC55" s="121" t="s">
        <v>92</v>
      </c>
      <c r="AD55" s="121"/>
      <c r="AE55" s="121"/>
      <c r="AF55" s="121"/>
      <c r="AG55" s="121"/>
    </row>
    <row r="56" spans="2:34" x14ac:dyDescent="0.3">
      <c r="B56" s="115" t="s">
        <v>93</v>
      </c>
      <c r="C56" s="116"/>
      <c r="D56" s="117"/>
      <c r="E56" s="40">
        <f>E71</f>
        <v>5791.6666666666661</v>
      </c>
      <c r="F56" s="37"/>
      <c r="H56" s="115" t="s">
        <v>93</v>
      </c>
      <c r="I56" s="116"/>
      <c r="J56" s="117"/>
      <c r="K56" s="40">
        <f>K71</f>
        <v>12655</v>
      </c>
      <c r="L56" s="37"/>
      <c r="O56" s="115" t="s">
        <v>93</v>
      </c>
      <c r="P56" s="116"/>
      <c r="Q56" s="117"/>
      <c r="R56" s="40">
        <f>R71</f>
        <v>23445.833333333336</v>
      </c>
      <c r="S56" s="37"/>
      <c r="V56" s="115" t="s">
        <v>93</v>
      </c>
      <c r="W56" s="116"/>
      <c r="X56" s="117"/>
      <c r="Y56" s="40">
        <f>Y71</f>
        <v>37185.833333333328</v>
      </c>
      <c r="Z56" s="37"/>
      <c r="AC56" s="115" t="s">
        <v>93</v>
      </c>
      <c r="AD56" s="116"/>
      <c r="AE56" s="117"/>
      <c r="AF56" s="40">
        <f>AF71</f>
        <v>71288.333333333328</v>
      </c>
      <c r="AG56" s="37"/>
    </row>
    <row r="57" spans="2:34" x14ac:dyDescent="0.3">
      <c r="B57" s="115" t="s">
        <v>94</v>
      </c>
      <c r="C57" s="116"/>
      <c r="D57" s="117"/>
      <c r="E57" s="40">
        <f>(E56*0.0153)+E56</f>
        <v>5880.2791666666662</v>
      </c>
      <c r="F57" s="37"/>
      <c r="H57" s="115" t="s">
        <v>94</v>
      </c>
      <c r="I57" s="116"/>
      <c r="J57" s="117"/>
      <c r="K57" s="40">
        <f>(K56*0.0153)+K56</f>
        <v>12848.621499999999</v>
      </c>
      <c r="L57" s="37"/>
      <c r="O57" s="115" t="s">
        <v>94</v>
      </c>
      <c r="P57" s="116"/>
      <c r="Q57" s="117"/>
      <c r="R57" s="40">
        <f>(R56*0.0153)+R56</f>
        <v>23804.554583333334</v>
      </c>
      <c r="S57" s="37"/>
      <c r="V57" s="115" t="s">
        <v>94</v>
      </c>
      <c r="W57" s="116"/>
      <c r="X57" s="117"/>
      <c r="Y57" s="40">
        <f>(Y56*0.0153)+Y56</f>
        <v>37754.776583333325</v>
      </c>
      <c r="Z57" s="37"/>
      <c r="AC57" s="115" t="s">
        <v>94</v>
      </c>
      <c r="AD57" s="116"/>
      <c r="AE57" s="117"/>
      <c r="AF57" s="40">
        <f>(AF56*0.0153)+AF56</f>
        <v>72379.044833333333</v>
      </c>
      <c r="AG57" s="37"/>
    </row>
    <row r="58" spans="2:34" x14ac:dyDescent="0.3">
      <c r="B58" s="115" t="s">
        <v>95</v>
      </c>
      <c r="C58" s="116"/>
      <c r="D58" s="117"/>
      <c r="E58" s="40">
        <f t="shared" ref="E58:E67" si="0">(E57*0.0153)+E57</f>
        <v>5970.2474379166661</v>
      </c>
      <c r="F58" s="37"/>
      <c r="H58" s="115" t="s">
        <v>95</v>
      </c>
      <c r="I58" s="116"/>
      <c r="J58" s="117"/>
      <c r="K58" s="40">
        <f t="shared" ref="K58:K67" si="1">(K57*0.0153)+K57</f>
        <v>13045.20540895</v>
      </c>
      <c r="L58" s="37"/>
      <c r="O58" s="115" t="s">
        <v>95</v>
      </c>
      <c r="P58" s="116"/>
      <c r="Q58" s="117"/>
      <c r="R58" s="40">
        <f t="shared" ref="R58:R67" si="2">(R57*0.0153)+R57</f>
        <v>24168.764268458333</v>
      </c>
      <c r="S58" s="37"/>
      <c r="V58" s="115" t="s">
        <v>95</v>
      </c>
      <c r="W58" s="116"/>
      <c r="X58" s="117"/>
      <c r="Y58" s="40">
        <f t="shared" ref="Y58:Y67" si="3">(Y57*0.0153)+Y57</f>
        <v>38332.424665058323</v>
      </c>
      <c r="Z58" s="37"/>
      <c r="AC58" s="115" t="s">
        <v>95</v>
      </c>
      <c r="AD58" s="116"/>
      <c r="AE58" s="117"/>
      <c r="AF58" s="40">
        <f t="shared" ref="AF58:AF67" si="4">(AF57*0.0153)+AF57</f>
        <v>73486.444219283338</v>
      </c>
      <c r="AG58" s="37"/>
    </row>
    <row r="59" spans="2:34" x14ac:dyDescent="0.3">
      <c r="B59" s="115" t="s">
        <v>96</v>
      </c>
      <c r="C59" s="116"/>
      <c r="D59" s="117"/>
      <c r="E59" s="40">
        <f t="shared" si="0"/>
        <v>6061.5922237167906</v>
      </c>
      <c r="F59" s="37"/>
      <c r="H59" s="115" t="s">
        <v>96</v>
      </c>
      <c r="I59" s="116"/>
      <c r="J59" s="117"/>
      <c r="K59" s="40">
        <f t="shared" si="1"/>
        <v>13244.797051706935</v>
      </c>
      <c r="L59" s="37"/>
      <c r="O59" s="115" t="s">
        <v>96</v>
      </c>
      <c r="P59" s="116"/>
      <c r="Q59" s="117"/>
      <c r="R59" s="40">
        <f t="shared" si="2"/>
        <v>24538.546361765744</v>
      </c>
      <c r="S59" s="37"/>
      <c r="V59" s="115" t="s">
        <v>96</v>
      </c>
      <c r="W59" s="116"/>
      <c r="X59" s="117"/>
      <c r="Y59" s="40">
        <f t="shared" si="3"/>
        <v>38918.910762433712</v>
      </c>
      <c r="Z59" s="37"/>
      <c r="AC59" s="115" t="s">
        <v>96</v>
      </c>
      <c r="AD59" s="116"/>
      <c r="AE59" s="117"/>
      <c r="AF59" s="40">
        <f t="shared" si="4"/>
        <v>74610.786815838379</v>
      </c>
      <c r="AG59" s="37"/>
    </row>
    <row r="60" spans="2:34" x14ac:dyDescent="0.3">
      <c r="B60" s="115" t="s">
        <v>97</v>
      </c>
      <c r="C60" s="116"/>
      <c r="D60" s="117"/>
      <c r="E60" s="40">
        <f t="shared" si="0"/>
        <v>6154.3345847396577</v>
      </c>
      <c r="F60" s="37"/>
      <c r="H60" s="115" t="s">
        <v>97</v>
      </c>
      <c r="I60" s="116"/>
      <c r="J60" s="117"/>
      <c r="K60" s="40">
        <f t="shared" si="1"/>
        <v>13447.442446598052</v>
      </c>
      <c r="L60" s="37"/>
      <c r="O60" s="115" t="s">
        <v>97</v>
      </c>
      <c r="P60" s="116"/>
      <c r="Q60" s="117"/>
      <c r="R60" s="40">
        <f t="shared" si="2"/>
        <v>24913.986121100759</v>
      </c>
      <c r="S60" s="37"/>
      <c r="V60" s="115" t="s">
        <v>97</v>
      </c>
      <c r="W60" s="116"/>
      <c r="X60" s="117"/>
      <c r="Y60" s="40">
        <f t="shared" si="3"/>
        <v>39514.370097098945</v>
      </c>
      <c r="Z60" s="37"/>
      <c r="AC60" s="115" t="s">
        <v>97</v>
      </c>
      <c r="AD60" s="116"/>
      <c r="AE60" s="117"/>
      <c r="AF60" s="40">
        <f t="shared" si="4"/>
        <v>75752.331854120712</v>
      </c>
      <c r="AG60" s="37"/>
    </row>
    <row r="61" spans="2:34" x14ac:dyDescent="0.3">
      <c r="B61" s="115" t="s">
        <v>98</v>
      </c>
      <c r="C61" s="116"/>
      <c r="D61" s="117"/>
      <c r="E61" s="40">
        <f t="shared" si="0"/>
        <v>6248.4959038861743</v>
      </c>
      <c r="F61" s="37"/>
      <c r="H61" s="115" t="s">
        <v>98</v>
      </c>
      <c r="I61" s="116"/>
      <c r="J61" s="117"/>
      <c r="K61" s="40">
        <f t="shared" si="1"/>
        <v>13653.188316031003</v>
      </c>
      <c r="L61" s="37"/>
      <c r="O61" s="115" t="s">
        <v>98</v>
      </c>
      <c r="P61" s="116"/>
      <c r="Q61" s="117"/>
      <c r="R61" s="40">
        <f t="shared" si="2"/>
        <v>25295.170108753602</v>
      </c>
      <c r="S61" s="37"/>
      <c r="V61" s="115" t="s">
        <v>98</v>
      </c>
      <c r="W61" s="116"/>
      <c r="X61" s="117"/>
      <c r="Y61" s="40">
        <f t="shared" si="3"/>
        <v>40118.939959584561</v>
      </c>
      <c r="Z61" s="37"/>
      <c r="AC61" s="115" t="s">
        <v>98</v>
      </c>
      <c r="AD61" s="116"/>
      <c r="AE61" s="117"/>
      <c r="AF61" s="40">
        <f t="shared" si="4"/>
        <v>76911.342531488757</v>
      </c>
      <c r="AG61" s="37"/>
    </row>
    <row r="62" spans="2:34" x14ac:dyDescent="0.3">
      <c r="B62" s="115" t="s">
        <v>99</v>
      </c>
      <c r="C62" s="116"/>
      <c r="D62" s="117"/>
      <c r="E62" s="40">
        <f t="shared" si="0"/>
        <v>6344.0978912156324</v>
      </c>
      <c r="F62" s="37"/>
      <c r="H62" s="115" t="s">
        <v>99</v>
      </c>
      <c r="I62" s="116"/>
      <c r="J62" s="117"/>
      <c r="K62" s="40">
        <f t="shared" si="1"/>
        <v>13862.082097266277</v>
      </c>
      <c r="L62" s="37"/>
      <c r="O62" s="115" t="s">
        <v>99</v>
      </c>
      <c r="P62" s="116"/>
      <c r="Q62" s="117"/>
      <c r="R62" s="40">
        <f t="shared" si="2"/>
        <v>25682.186211417531</v>
      </c>
      <c r="S62" s="37"/>
      <c r="V62" s="115" t="s">
        <v>99</v>
      </c>
      <c r="W62" s="116"/>
      <c r="X62" s="117"/>
      <c r="Y62" s="40">
        <f t="shared" si="3"/>
        <v>40732.759740966205</v>
      </c>
      <c r="Z62" s="37"/>
      <c r="AC62" s="115" t="s">
        <v>99</v>
      </c>
      <c r="AD62" s="116"/>
      <c r="AE62" s="117"/>
      <c r="AF62" s="40">
        <f t="shared" si="4"/>
        <v>78088.08607222054</v>
      </c>
      <c r="AG62" s="37"/>
    </row>
    <row r="63" spans="2:34" x14ac:dyDescent="0.3">
      <c r="B63" s="115" t="s">
        <v>100</v>
      </c>
      <c r="C63" s="116"/>
      <c r="D63" s="117"/>
      <c r="E63" s="40">
        <f t="shared" si="0"/>
        <v>6441.1625889512316</v>
      </c>
      <c r="F63" s="37"/>
      <c r="H63" s="115" t="s">
        <v>100</v>
      </c>
      <c r="I63" s="116"/>
      <c r="J63" s="117"/>
      <c r="K63" s="40">
        <f t="shared" si="1"/>
        <v>14074.171953354451</v>
      </c>
      <c r="L63" s="37"/>
      <c r="O63" s="115" t="s">
        <v>100</v>
      </c>
      <c r="P63" s="116"/>
      <c r="Q63" s="117"/>
      <c r="R63" s="40">
        <f t="shared" si="2"/>
        <v>26075.12366045222</v>
      </c>
      <c r="S63" s="37"/>
      <c r="V63" s="115" t="s">
        <v>100</v>
      </c>
      <c r="W63" s="116"/>
      <c r="X63" s="117"/>
      <c r="Y63" s="40">
        <f t="shared" si="3"/>
        <v>41355.970965002991</v>
      </c>
      <c r="Z63" s="37"/>
      <c r="AC63" s="115" t="s">
        <v>100</v>
      </c>
      <c r="AD63" s="116"/>
      <c r="AE63" s="117"/>
      <c r="AF63" s="40">
        <f t="shared" si="4"/>
        <v>79282.833789125507</v>
      </c>
      <c r="AG63" s="37"/>
    </row>
    <row r="64" spans="2:34" x14ac:dyDescent="0.3">
      <c r="B64" s="115" t="s">
        <v>101</v>
      </c>
      <c r="C64" s="116"/>
      <c r="D64" s="117"/>
      <c r="E64" s="40">
        <f t="shared" si="0"/>
        <v>6539.7123765621855</v>
      </c>
      <c r="F64" s="37"/>
      <c r="H64" s="115" t="s">
        <v>101</v>
      </c>
      <c r="I64" s="116"/>
      <c r="J64" s="117"/>
      <c r="K64" s="40">
        <f t="shared" si="1"/>
        <v>14289.506784240773</v>
      </c>
      <c r="L64" s="37"/>
      <c r="O64" s="115" t="s">
        <v>101</v>
      </c>
      <c r="P64" s="116"/>
      <c r="Q64" s="117"/>
      <c r="R64" s="40">
        <f t="shared" si="2"/>
        <v>26474.073052457137</v>
      </c>
      <c r="S64" s="37"/>
      <c r="V64" s="115" t="s">
        <v>101</v>
      </c>
      <c r="W64" s="116"/>
      <c r="X64" s="117"/>
      <c r="Y64" s="40">
        <f t="shared" si="3"/>
        <v>41988.717320767537</v>
      </c>
      <c r="Z64" s="37"/>
      <c r="AC64" s="115" t="s">
        <v>101</v>
      </c>
      <c r="AD64" s="116"/>
      <c r="AE64" s="117"/>
      <c r="AF64" s="40">
        <f t="shared" si="4"/>
        <v>80495.861146099123</v>
      </c>
      <c r="AG64" s="37"/>
    </row>
    <row r="65" spans="2:33" x14ac:dyDescent="0.3">
      <c r="B65" s="115" t="s">
        <v>102</v>
      </c>
      <c r="C65" s="116"/>
      <c r="D65" s="117"/>
      <c r="E65" s="40">
        <f t="shared" si="0"/>
        <v>6639.7699759235866</v>
      </c>
      <c r="F65" s="37"/>
      <c r="H65" s="115" t="s">
        <v>102</v>
      </c>
      <c r="I65" s="116"/>
      <c r="J65" s="117"/>
      <c r="K65" s="40">
        <f t="shared" si="1"/>
        <v>14508.136238039657</v>
      </c>
      <c r="L65" s="37"/>
      <c r="O65" s="115" t="s">
        <v>102</v>
      </c>
      <c r="P65" s="116"/>
      <c r="Q65" s="117"/>
      <c r="R65" s="40">
        <f t="shared" si="2"/>
        <v>26879.126370159731</v>
      </c>
      <c r="S65" s="37"/>
      <c r="V65" s="115" t="s">
        <v>102</v>
      </c>
      <c r="W65" s="116"/>
      <c r="X65" s="117"/>
      <c r="Y65" s="40">
        <f t="shared" si="3"/>
        <v>42631.144695775278</v>
      </c>
      <c r="Z65" s="37"/>
      <c r="AC65" s="115" t="s">
        <v>102</v>
      </c>
      <c r="AD65" s="116"/>
      <c r="AE65" s="117"/>
      <c r="AF65" s="40">
        <f t="shared" si="4"/>
        <v>81727.447821634443</v>
      </c>
      <c r="AG65" s="37"/>
    </row>
    <row r="66" spans="2:33" x14ac:dyDescent="0.3">
      <c r="B66" s="115" t="s">
        <v>103</v>
      </c>
      <c r="C66" s="116"/>
      <c r="D66" s="117"/>
      <c r="E66" s="40">
        <f t="shared" si="0"/>
        <v>6741.3584565552173</v>
      </c>
      <c r="F66" s="37"/>
      <c r="H66" s="115" t="s">
        <v>103</v>
      </c>
      <c r="I66" s="116"/>
      <c r="J66" s="117"/>
      <c r="K66" s="40">
        <f t="shared" si="1"/>
        <v>14730.110722481664</v>
      </c>
      <c r="L66" s="37"/>
      <c r="O66" s="115" t="s">
        <v>103</v>
      </c>
      <c r="P66" s="116"/>
      <c r="Q66" s="117"/>
      <c r="R66" s="40">
        <f t="shared" si="2"/>
        <v>27290.377003623176</v>
      </c>
      <c r="S66" s="37"/>
      <c r="V66" s="115" t="s">
        <v>103</v>
      </c>
      <c r="W66" s="116"/>
      <c r="X66" s="117"/>
      <c r="Y66" s="40">
        <f t="shared" si="3"/>
        <v>43283.401209620642</v>
      </c>
      <c r="Z66" s="37"/>
      <c r="AC66" s="115" t="s">
        <v>103</v>
      </c>
      <c r="AD66" s="116"/>
      <c r="AE66" s="117"/>
      <c r="AF66" s="40">
        <f t="shared" si="4"/>
        <v>82977.877773305445</v>
      </c>
      <c r="AG66" s="37"/>
    </row>
    <row r="67" spans="2:33" x14ac:dyDescent="0.3">
      <c r="B67" s="115" t="s">
        <v>104</v>
      </c>
      <c r="C67" s="116"/>
      <c r="D67" s="117"/>
      <c r="E67" s="40">
        <f t="shared" si="0"/>
        <v>6844.5012409405117</v>
      </c>
      <c r="F67" s="37"/>
      <c r="H67" s="115" t="s">
        <v>104</v>
      </c>
      <c r="I67" s="116"/>
      <c r="J67" s="117"/>
      <c r="K67" s="40">
        <f t="shared" si="1"/>
        <v>14955.481416535633</v>
      </c>
      <c r="L67" s="37"/>
      <c r="O67" s="115" t="s">
        <v>104</v>
      </c>
      <c r="P67" s="116"/>
      <c r="Q67" s="117"/>
      <c r="R67" s="40">
        <f t="shared" si="2"/>
        <v>27707.919771778612</v>
      </c>
      <c r="S67" s="37"/>
      <c r="V67" s="115" t="s">
        <v>104</v>
      </c>
      <c r="W67" s="116"/>
      <c r="X67" s="117"/>
      <c r="Y67" s="40">
        <f t="shared" si="3"/>
        <v>43945.637248127838</v>
      </c>
      <c r="Z67" s="37"/>
      <c r="AC67" s="115" t="s">
        <v>104</v>
      </c>
      <c r="AD67" s="116"/>
      <c r="AE67" s="117"/>
      <c r="AF67" s="40">
        <f t="shared" si="4"/>
        <v>84247.439303237014</v>
      </c>
      <c r="AG67" s="37"/>
    </row>
    <row r="68" spans="2:33" x14ac:dyDescent="0.3">
      <c r="J68" s="43"/>
    </row>
    <row r="70" spans="2:33" x14ac:dyDescent="0.3">
      <c r="B70" s="118" t="s">
        <v>107</v>
      </c>
      <c r="C70" s="118"/>
      <c r="D70" s="118"/>
      <c r="E70" s="118"/>
      <c r="F70" s="118"/>
      <c r="H70" s="118" t="s">
        <v>107</v>
      </c>
      <c r="I70" s="118"/>
      <c r="J70" s="118"/>
      <c r="K70" s="118"/>
      <c r="L70" s="118"/>
      <c r="O70" s="118" t="s">
        <v>107</v>
      </c>
      <c r="P70" s="118"/>
      <c r="Q70" s="118"/>
      <c r="R70" s="118"/>
      <c r="S70" s="118"/>
      <c r="V70" s="118" t="s">
        <v>107</v>
      </c>
      <c r="W70" s="118"/>
      <c r="X70" s="118"/>
      <c r="Y70" s="118"/>
      <c r="Z70" s="118"/>
      <c r="AC70" s="118" t="s">
        <v>107</v>
      </c>
      <c r="AD70" s="118"/>
      <c r="AE70" s="118"/>
      <c r="AF70" s="118"/>
      <c r="AG70" s="118"/>
    </row>
    <row r="71" spans="2:33" x14ac:dyDescent="0.3">
      <c r="B71" s="111" t="s">
        <v>63</v>
      </c>
      <c r="C71" s="112"/>
      <c r="D71" s="113"/>
      <c r="E71" s="119">
        <f>E17+F29+E39+F50</f>
        <v>5791.6666666666661</v>
      </c>
      <c r="F71" s="113"/>
      <c r="H71" s="111" t="s">
        <v>63</v>
      </c>
      <c r="I71" s="112"/>
      <c r="J71" s="113"/>
      <c r="K71" s="119">
        <f>L17+L29+L39+L50</f>
        <v>12655</v>
      </c>
      <c r="L71" s="113"/>
      <c r="O71" s="111" t="s">
        <v>63</v>
      </c>
      <c r="P71" s="112"/>
      <c r="Q71" s="113"/>
      <c r="R71" s="119">
        <f>S17+S29+S39+S50</f>
        <v>23445.833333333336</v>
      </c>
      <c r="S71" s="113"/>
      <c r="V71" s="111" t="s">
        <v>63</v>
      </c>
      <c r="W71" s="112"/>
      <c r="X71" s="113"/>
      <c r="Y71" s="119">
        <f>Z17+Z29+Z39+Z50</f>
        <v>37185.833333333328</v>
      </c>
      <c r="Z71" s="113"/>
      <c r="AC71" s="111" t="s">
        <v>63</v>
      </c>
      <c r="AD71" s="112"/>
      <c r="AE71" s="113"/>
      <c r="AF71" s="119">
        <f>AG17+AG29+AG39+AG50</f>
        <v>71288.333333333328</v>
      </c>
      <c r="AG71" s="113"/>
    </row>
    <row r="74" spans="2:33" x14ac:dyDescent="0.3">
      <c r="B74" s="120" t="s">
        <v>108</v>
      </c>
      <c r="C74" s="120"/>
      <c r="D74" s="120"/>
      <c r="E74" s="120"/>
      <c r="F74" s="120"/>
      <c r="H74" s="120" t="s">
        <v>108</v>
      </c>
      <c r="I74" s="120"/>
      <c r="J74" s="120"/>
      <c r="K74" s="120"/>
      <c r="L74" s="120"/>
      <c r="O74" s="120" t="s">
        <v>108</v>
      </c>
      <c r="P74" s="120"/>
      <c r="Q74" s="120"/>
      <c r="R74" s="120"/>
      <c r="S74" s="120"/>
      <c r="V74" s="120" t="s">
        <v>108</v>
      </c>
      <c r="W74" s="120"/>
      <c r="X74" s="120"/>
      <c r="Y74" s="120"/>
      <c r="Z74" s="120"/>
      <c r="AC74" s="120" t="s">
        <v>108</v>
      </c>
      <c r="AD74" s="120"/>
      <c r="AE74" s="120"/>
      <c r="AF74" s="120"/>
      <c r="AG74" s="120"/>
    </row>
    <row r="75" spans="2:33" x14ac:dyDescent="0.3">
      <c r="B75" s="111" t="s">
        <v>109</v>
      </c>
      <c r="C75" s="112"/>
      <c r="D75" s="113"/>
      <c r="E75" s="119">
        <f>NPV(B84,E56:E67)</f>
        <v>68448.523940426021</v>
      </c>
      <c r="F75" s="113"/>
      <c r="H75" s="111" t="s">
        <v>109</v>
      </c>
      <c r="I75" s="112"/>
      <c r="J75" s="113"/>
      <c r="K75" s="119">
        <f>NPV(B84,K56:K67)</f>
        <v>149562.48698695109</v>
      </c>
      <c r="L75" s="113"/>
      <c r="O75" s="111" t="s">
        <v>109</v>
      </c>
      <c r="P75" s="112"/>
      <c r="Q75" s="113"/>
      <c r="R75" s="119">
        <f>NPV(B84,R56:R67)</f>
        <v>277093.41310271749</v>
      </c>
      <c r="S75" s="113"/>
      <c r="V75" s="111" t="s">
        <v>109</v>
      </c>
      <c r="W75" s="112"/>
      <c r="X75" s="113"/>
      <c r="Y75" s="119">
        <f>NPV(B84,Y56:Y67)</f>
        <v>439478.9185314576</v>
      </c>
      <c r="Z75" s="113"/>
      <c r="AC75" s="111" t="s">
        <v>109</v>
      </c>
      <c r="AD75" s="112"/>
      <c r="AE75" s="113"/>
      <c r="AF75" s="119">
        <f>NPV(B84,AF56:AF67)</f>
        <v>842517.61568455934</v>
      </c>
      <c r="AG75" s="113"/>
    </row>
    <row r="76" spans="2:33" x14ac:dyDescent="0.3">
      <c r="B76" s="111" t="s">
        <v>20</v>
      </c>
      <c r="C76" s="112"/>
      <c r="D76" s="113"/>
      <c r="E76" s="114">
        <f>-FV(B84,12,,E75)</f>
        <v>82138.228728512273</v>
      </c>
      <c r="F76" s="113"/>
      <c r="H76" s="111" t="s">
        <v>20</v>
      </c>
      <c r="I76" s="112"/>
      <c r="J76" s="113"/>
      <c r="K76" s="114">
        <f>-FV(B84,12,,K75)</f>
        <v>179474.98438434358</v>
      </c>
      <c r="L76" s="113"/>
      <c r="O76" s="111" t="s">
        <v>20</v>
      </c>
      <c r="P76" s="112"/>
      <c r="Q76" s="113"/>
      <c r="R76" s="114">
        <f>-FV(B84,12,,R75)</f>
        <v>332512.0957232652</v>
      </c>
      <c r="S76" s="113"/>
      <c r="V76" s="111" t="s">
        <v>20</v>
      </c>
      <c r="W76" s="112"/>
      <c r="X76" s="113"/>
      <c r="Y76" s="114">
        <f>-FV(B84,12,,Y75)</f>
        <v>527374.70223775588</v>
      </c>
      <c r="Z76" s="113"/>
      <c r="AC76" s="111" t="s">
        <v>20</v>
      </c>
      <c r="AD76" s="112"/>
      <c r="AE76" s="113"/>
      <c r="AF76" s="114">
        <f>-FV(B84,12,,AF75)</f>
        <v>1011021.1388214841</v>
      </c>
      <c r="AG76" s="113"/>
    </row>
    <row r="83" spans="1:5" x14ac:dyDescent="0.3">
      <c r="A83" s="19" t="s">
        <v>45</v>
      </c>
      <c r="B83" s="20">
        <v>0.2</v>
      </c>
      <c r="C83" s="19" t="s">
        <v>46</v>
      </c>
      <c r="E83" s="22">
        <f>B83+1</f>
        <v>1.2</v>
      </c>
    </row>
    <row r="84" spans="1:5" x14ac:dyDescent="0.3">
      <c r="A84" s="21" t="s">
        <v>47</v>
      </c>
      <c r="B84" s="23">
        <f>RATE(12,,-1,E83)</f>
        <v>1.5309470499732226E-2</v>
      </c>
      <c r="C84" s="21" t="s">
        <v>48</v>
      </c>
    </row>
  </sheetData>
  <mergeCells count="460">
    <mergeCell ref="AC47:AD47"/>
    <mergeCell ref="AG47:AH47"/>
    <mergeCell ref="AC48:AD48"/>
    <mergeCell ref="AG48:AH48"/>
    <mergeCell ref="AC49:AD49"/>
    <mergeCell ref="AG49:AH49"/>
    <mergeCell ref="AC36:AE36"/>
    <mergeCell ref="AC37:AE37"/>
    <mergeCell ref="AC43:AH43"/>
    <mergeCell ref="AC27:AD27"/>
    <mergeCell ref="AG27:AH27"/>
    <mergeCell ref="AC24:AD24"/>
    <mergeCell ref="AG24:AH24"/>
    <mergeCell ref="AC25:AD25"/>
    <mergeCell ref="AG25:AH25"/>
    <mergeCell ref="AC26:AD26"/>
    <mergeCell ref="AG26:AH26"/>
    <mergeCell ref="AC23:AD23"/>
    <mergeCell ref="AG23:AH23"/>
    <mergeCell ref="AC33:AH33"/>
    <mergeCell ref="AC34:AE34"/>
    <mergeCell ref="AC35:AE35"/>
    <mergeCell ref="AC45:AD45"/>
    <mergeCell ref="AG45:AH45"/>
    <mergeCell ref="AC46:AD46"/>
    <mergeCell ref="AG46:AH46"/>
    <mergeCell ref="AC28:AD28"/>
    <mergeCell ref="AG28:AH28"/>
    <mergeCell ref="AC30:AD30"/>
    <mergeCell ref="AG30:AH30"/>
    <mergeCell ref="AC9:AD9"/>
    <mergeCell ref="AE9:AH9"/>
    <mergeCell ref="AC10:AD10"/>
    <mergeCell ref="AE10:AH10"/>
    <mergeCell ref="AC11:AD11"/>
    <mergeCell ref="AE11:AH11"/>
    <mergeCell ref="AC19:AF19"/>
    <mergeCell ref="AG19:AH19"/>
    <mergeCell ref="AC22:AH22"/>
    <mergeCell ref="AC17:AD17"/>
    <mergeCell ref="AE17:AF17"/>
    <mergeCell ref="AG17:AH17"/>
    <mergeCell ref="AC18:AD18"/>
    <mergeCell ref="AE18:AF18"/>
    <mergeCell ref="AG18:AH18"/>
    <mergeCell ref="AC6:AH6"/>
    <mergeCell ref="AC7:AD7"/>
    <mergeCell ref="AE7:AH7"/>
    <mergeCell ref="AC8:AD8"/>
    <mergeCell ref="AE8:AH8"/>
    <mergeCell ref="V34:X34"/>
    <mergeCell ref="V35:X35"/>
    <mergeCell ref="V36:X36"/>
    <mergeCell ref="V28:W28"/>
    <mergeCell ref="Z28:AA28"/>
    <mergeCell ref="V30:W30"/>
    <mergeCell ref="Z30:AA30"/>
    <mergeCell ref="V33:AA33"/>
    <mergeCell ref="V25:W25"/>
    <mergeCell ref="Z25:AA25"/>
    <mergeCell ref="V26:W26"/>
    <mergeCell ref="Z26:AA26"/>
    <mergeCell ref="AC14:AH14"/>
    <mergeCell ref="AC15:AD15"/>
    <mergeCell ref="AE15:AF15"/>
    <mergeCell ref="AG15:AH15"/>
    <mergeCell ref="AC16:AD16"/>
    <mergeCell ref="AE16:AF16"/>
    <mergeCell ref="AG16:AH16"/>
    <mergeCell ref="V37:X37"/>
    <mergeCell ref="V43:AA43"/>
    <mergeCell ref="Z47:AA47"/>
    <mergeCell ref="V48:W48"/>
    <mergeCell ref="Z48:AA48"/>
    <mergeCell ref="V49:W49"/>
    <mergeCell ref="Z49:AA49"/>
    <mergeCell ref="V50:W50"/>
    <mergeCell ref="Z50:AA50"/>
    <mergeCell ref="V47:W47"/>
    <mergeCell ref="O19:R19"/>
    <mergeCell ref="S19:T19"/>
    <mergeCell ref="O22:T22"/>
    <mergeCell ref="O23:P23"/>
    <mergeCell ref="S23:T23"/>
    <mergeCell ref="V6:AA6"/>
    <mergeCell ref="V7:W7"/>
    <mergeCell ref="X7:AA7"/>
    <mergeCell ref="V8:W8"/>
    <mergeCell ref="X8:AA8"/>
    <mergeCell ref="V9:W9"/>
    <mergeCell ref="X9:AA9"/>
    <mergeCell ref="V10:W10"/>
    <mergeCell ref="X10:AA10"/>
    <mergeCell ref="O27:P27"/>
    <mergeCell ref="S27:T27"/>
    <mergeCell ref="O28:P28"/>
    <mergeCell ref="S28:T28"/>
    <mergeCell ref="O30:P30"/>
    <mergeCell ref="S30:T30"/>
    <mergeCell ref="V27:W27"/>
    <mergeCell ref="Z27:AA27"/>
    <mergeCell ref="V22:AA22"/>
    <mergeCell ref="V23:W23"/>
    <mergeCell ref="Z23:AA23"/>
    <mergeCell ref="O24:P24"/>
    <mergeCell ref="S24:T24"/>
    <mergeCell ref="O25:P25"/>
    <mergeCell ref="S25:T25"/>
    <mergeCell ref="O26:P26"/>
    <mergeCell ref="S26:T26"/>
    <mergeCell ref="V24:W24"/>
    <mergeCell ref="Z24:AA24"/>
    <mergeCell ref="V18:W18"/>
    <mergeCell ref="X18:Y18"/>
    <mergeCell ref="Z18:AA18"/>
    <mergeCell ref="V19:Y19"/>
    <mergeCell ref="Z19:AA19"/>
    <mergeCell ref="V17:W17"/>
    <mergeCell ref="X17:Y17"/>
    <mergeCell ref="Z17:AA17"/>
    <mergeCell ref="Z15:AA15"/>
    <mergeCell ref="V16:W16"/>
    <mergeCell ref="X16:Y16"/>
    <mergeCell ref="Z16:AA16"/>
    <mergeCell ref="S15:T15"/>
    <mergeCell ref="O16:P16"/>
    <mergeCell ref="Q16:R16"/>
    <mergeCell ref="S16:T16"/>
    <mergeCell ref="V11:W11"/>
    <mergeCell ref="X11:AA11"/>
    <mergeCell ref="V14:AA14"/>
    <mergeCell ref="V15:W15"/>
    <mergeCell ref="X15:Y15"/>
    <mergeCell ref="L19:M19"/>
    <mergeCell ref="H43:M43"/>
    <mergeCell ref="H36:J36"/>
    <mergeCell ref="H37:J37"/>
    <mergeCell ref="H33:M33"/>
    <mergeCell ref="H27:I27"/>
    <mergeCell ref="H28:I28"/>
    <mergeCell ref="H30:I30"/>
    <mergeCell ref="H22:M22"/>
    <mergeCell ref="L23:M23"/>
    <mergeCell ref="L24:M24"/>
    <mergeCell ref="L25:M25"/>
    <mergeCell ref="H38:J38"/>
    <mergeCell ref="H39:J39"/>
    <mergeCell ref="H40:J40"/>
    <mergeCell ref="L34:M34"/>
    <mergeCell ref="L35:M35"/>
    <mergeCell ref="L36:M36"/>
    <mergeCell ref="L37:M37"/>
    <mergeCell ref="L38:M38"/>
    <mergeCell ref="L39:M39"/>
    <mergeCell ref="L40:M40"/>
    <mergeCell ref="H34:J34"/>
    <mergeCell ref="H35:J35"/>
    <mergeCell ref="O17:P17"/>
    <mergeCell ref="Q17:R17"/>
    <mergeCell ref="S17:T17"/>
    <mergeCell ref="O18:P18"/>
    <mergeCell ref="Q18:R18"/>
    <mergeCell ref="S18:T18"/>
    <mergeCell ref="O6:T6"/>
    <mergeCell ref="O7:P7"/>
    <mergeCell ref="Q7:T7"/>
    <mergeCell ref="O8:P8"/>
    <mergeCell ref="Q8:T8"/>
    <mergeCell ref="O9:P9"/>
    <mergeCell ref="Q9:T9"/>
    <mergeCell ref="O10:P10"/>
    <mergeCell ref="Q10:T10"/>
    <mergeCell ref="O11:P11"/>
    <mergeCell ref="Q11:T11"/>
    <mergeCell ref="O14:T14"/>
    <mergeCell ref="O15:P15"/>
    <mergeCell ref="Q15:R15"/>
    <mergeCell ref="B30:C30"/>
    <mergeCell ref="L26:M26"/>
    <mergeCell ref="L27:M27"/>
    <mergeCell ref="L28:M28"/>
    <mergeCell ref="L30:M30"/>
    <mergeCell ref="H23:I23"/>
    <mergeCell ref="H24:I24"/>
    <mergeCell ref="H25:I25"/>
    <mergeCell ref="H26:I26"/>
    <mergeCell ref="L29:M29"/>
    <mergeCell ref="J15:K15"/>
    <mergeCell ref="L15:M15"/>
    <mergeCell ref="J16:K16"/>
    <mergeCell ref="L16:M16"/>
    <mergeCell ref="H18:I18"/>
    <mergeCell ref="J17:K17"/>
    <mergeCell ref="L17:M17"/>
    <mergeCell ref="J18:K18"/>
    <mergeCell ref="L18:M18"/>
    <mergeCell ref="B33:F33"/>
    <mergeCell ref="H6:M6"/>
    <mergeCell ref="J7:M7"/>
    <mergeCell ref="J8:M8"/>
    <mergeCell ref="J9:M9"/>
    <mergeCell ref="J10:M10"/>
    <mergeCell ref="J11:M11"/>
    <mergeCell ref="H15:I15"/>
    <mergeCell ref="H16:I16"/>
    <mergeCell ref="H17:I17"/>
    <mergeCell ref="B27:C27"/>
    <mergeCell ref="B28:C28"/>
    <mergeCell ref="B22:F22"/>
    <mergeCell ref="B16:C16"/>
    <mergeCell ref="B23:C23"/>
    <mergeCell ref="B24:C24"/>
    <mergeCell ref="B25:C25"/>
    <mergeCell ref="B26:C26"/>
    <mergeCell ref="E15:F15"/>
    <mergeCell ref="E16:F16"/>
    <mergeCell ref="E17:F17"/>
    <mergeCell ref="E18:F18"/>
    <mergeCell ref="H19:K19"/>
    <mergeCell ref="B7:C7"/>
    <mergeCell ref="H7:I7"/>
    <mergeCell ref="B6:F6"/>
    <mergeCell ref="D7:F7"/>
    <mergeCell ref="H11:I11"/>
    <mergeCell ref="H8:I8"/>
    <mergeCell ref="H9:I9"/>
    <mergeCell ref="H10:I10"/>
    <mergeCell ref="B29:C29"/>
    <mergeCell ref="E19:F19"/>
    <mergeCell ref="B15:C15"/>
    <mergeCell ref="B17:C17"/>
    <mergeCell ref="B18:C18"/>
    <mergeCell ref="B19:D19"/>
    <mergeCell ref="B14:F14"/>
    <mergeCell ref="B11:C11"/>
    <mergeCell ref="B8:C8"/>
    <mergeCell ref="B9:C9"/>
    <mergeCell ref="B10:C10"/>
    <mergeCell ref="D8:F8"/>
    <mergeCell ref="D9:F9"/>
    <mergeCell ref="D10:F10"/>
    <mergeCell ref="D11:F11"/>
    <mergeCell ref="H29:I29"/>
    <mergeCell ref="H14:M14"/>
    <mergeCell ref="B45:C45"/>
    <mergeCell ref="B46:C46"/>
    <mergeCell ref="B47:C47"/>
    <mergeCell ref="B48:C48"/>
    <mergeCell ref="B49:C49"/>
    <mergeCell ref="B50:C50"/>
    <mergeCell ref="B51:C51"/>
    <mergeCell ref="B39:C39"/>
    <mergeCell ref="E39:F39"/>
    <mergeCell ref="B43:F43"/>
    <mergeCell ref="B34:C34"/>
    <mergeCell ref="B35:C35"/>
    <mergeCell ref="B36:C36"/>
    <mergeCell ref="B37:C37"/>
    <mergeCell ref="B38:C38"/>
    <mergeCell ref="E38:F38"/>
    <mergeCell ref="B40:C40"/>
    <mergeCell ref="E40:F40"/>
    <mergeCell ref="B44:C44"/>
    <mergeCell ref="E35:F35"/>
    <mergeCell ref="E36:F36"/>
    <mergeCell ref="E37:F37"/>
    <mergeCell ref="E34:F34"/>
    <mergeCell ref="H74:L74"/>
    <mergeCell ref="H75:J75"/>
    <mergeCell ref="K75:L75"/>
    <mergeCell ref="B64:D64"/>
    <mergeCell ref="B65:D65"/>
    <mergeCell ref="B66:D66"/>
    <mergeCell ref="B67:D67"/>
    <mergeCell ref="B55:F55"/>
    <mergeCell ref="B56:D56"/>
    <mergeCell ref="B57:D57"/>
    <mergeCell ref="B58:D58"/>
    <mergeCell ref="B59:D59"/>
    <mergeCell ref="B60:D60"/>
    <mergeCell ref="B61:D61"/>
    <mergeCell ref="B62:D62"/>
    <mergeCell ref="B63:D63"/>
    <mergeCell ref="H59:J59"/>
    <mergeCell ref="H60:J60"/>
    <mergeCell ref="H61:J61"/>
    <mergeCell ref="H71:J71"/>
    <mergeCell ref="K71:L71"/>
    <mergeCell ref="H62:J62"/>
    <mergeCell ref="L44:M44"/>
    <mergeCell ref="L45:M45"/>
    <mergeCell ref="L46:M46"/>
    <mergeCell ref="L47:M47"/>
    <mergeCell ref="L48:M48"/>
    <mergeCell ref="B76:D76"/>
    <mergeCell ref="E76:F76"/>
    <mergeCell ref="H44:I44"/>
    <mergeCell ref="H45:I45"/>
    <mergeCell ref="B74:F74"/>
    <mergeCell ref="B75:D75"/>
    <mergeCell ref="E75:F75"/>
    <mergeCell ref="H51:I51"/>
    <mergeCell ref="B70:F70"/>
    <mergeCell ref="B71:D71"/>
    <mergeCell ref="E71:F71"/>
    <mergeCell ref="H63:J63"/>
    <mergeCell ref="H64:J64"/>
    <mergeCell ref="H65:J65"/>
    <mergeCell ref="H66:J66"/>
    <mergeCell ref="H67:J67"/>
    <mergeCell ref="H70:L70"/>
    <mergeCell ref="H57:J57"/>
    <mergeCell ref="H58:J58"/>
    <mergeCell ref="H46:I46"/>
    <mergeCell ref="H47:I47"/>
    <mergeCell ref="H48:I48"/>
    <mergeCell ref="H49:I49"/>
    <mergeCell ref="H50:I50"/>
    <mergeCell ref="H76:J76"/>
    <mergeCell ref="K76:L76"/>
    <mergeCell ref="O29:P29"/>
    <mergeCell ref="O40:Q40"/>
    <mergeCell ref="H55:L55"/>
    <mergeCell ref="H56:J56"/>
    <mergeCell ref="O67:Q67"/>
    <mergeCell ref="O70:S70"/>
    <mergeCell ref="O71:Q71"/>
    <mergeCell ref="R71:S71"/>
    <mergeCell ref="O74:S74"/>
    <mergeCell ref="O75:Q75"/>
    <mergeCell ref="R75:S75"/>
    <mergeCell ref="O55:S55"/>
    <mergeCell ref="O56:Q56"/>
    <mergeCell ref="O57:Q57"/>
    <mergeCell ref="O58:Q58"/>
    <mergeCell ref="O59:Q59"/>
    <mergeCell ref="S29:T29"/>
    <mergeCell ref="O33:T33"/>
    <mergeCell ref="O34:Q34"/>
    <mergeCell ref="O35:Q35"/>
    <mergeCell ref="S40:T40"/>
    <mergeCell ref="O44:P44"/>
    <mergeCell ref="S44:T44"/>
    <mergeCell ref="O45:P45"/>
    <mergeCell ref="S45:T45"/>
    <mergeCell ref="O46:P46"/>
    <mergeCell ref="S46:T46"/>
    <mergeCell ref="O43:T43"/>
    <mergeCell ref="S34:T34"/>
    <mergeCell ref="S35:T35"/>
    <mergeCell ref="S36:T36"/>
    <mergeCell ref="S37:T37"/>
    <mergeCell ref="O38:Q38"/>
    <mergeCell ref="S38:T38"/>
    <mergeCell ref="O39:Q39"/>
    <mergeCell ref="S39:T39"/>
    <mergeCell ref="O36:Q36"/>
    <mergeCell ref="O37:Q37"/>
    <mergeCell ref="O47:P47"/>
    <mergeCell ref="L51:M51"/>
    <mergeCell ref="S47:T47"/>
    <mergeCell ref="O48:P48"/>
    <mergeCell ref="S48:T48"/>
    <mergeCell ref="O49:P49"/>
    <mergeCell ref="S49:T49"/>
    <mergeCell ref="O50:P50"/>
    <mergeCell ref="S50:T50"/>
    <mergeCell ref="O51:P51"/>
    <mergeCell ref="S51:T51"/>
    <mergeCell ref="L49:M49"/>
    <mergeCell ref="L50:M50"/>
    <mergeCell ref="O60:Q60"/>
    <mergeCell ref="O61:Q61"/>
    <mergeCell ref="O62:Q62"/>
    <mergeCell ref="O63:Q63"/>
    <mergeCell ref="O76:Q76"/>
    <mergeCell ref="R76:S76"/>
    <mergeCell ref="V29:W29"/>
    <mergeCell ref="Z29:AA29"/>
    <mergeCell ref="Z34:AA34"/>
    <mergeCell ref="Z35:AA35"/>
    <mergeCell ref="Z36:AA36"/>
    <mergeCell ref="Z37:AA37"/>
    <mergeCell ref="V38:X38"/>
    <mergeCell ref="Z38:AA38"/>
    <mergeCell ref="V39:X39"/>
    <mergeCell ref="Z39:AA39"/>
    <mergeCell ref="V40:X40"/>
    <mergeCell ref="Z40:AA40"/>
    <mergeCell ref="V44:W44"/>
    <mergeCell ref="Z44:AA44"/>
    <mergeCell ref="V45:W45"/>
    <mergeCell ref="Z45:AA45"/>
    <mergeCell ref="V46:W46"/>
    <mergeCell ref="Z46:AA46"/>
    <mergeCell ref="O64:Q64"/>
    <mergeCell ref="O65:Q65"/>
    <mergeCell ref="O66:Q66"/>
    <mergeCell ref="V63:X63"/>
    <mergeCell ref="V64:X64"/>
    <mergeCell ref="V65:X65"/>
    <mergeCell ref="V66:X66"/>
    <mergeCell ref="V67:X67"/>
    <mergeCell ref="V70:Z70"/>
    <mergeCell ref="V71:X71"/>
    <mergeCell ref="Y71:Z71"/>
    <mergeCell ref="V51:W51"/>
    <mergeCell ref="Z51:AA51"/>
    <mergeCell ref="V55:Z55"/>
    <mergeCell ref="V56:X56"/>
    <mergeCell ref="V57:X57"/>
    <mergeCell ref="V58:X58"/>
    <mergeCell ref="V59:X59"/>
    <mergeCell ref="V60:X60"/>
    <mergeCell ref="V61:X61"/>
    <mergeCell ref="V74:Z74"/>
    <mergeCell ref="V75:X75"/>
    <mergeCell ref="Y75:Z75"/>
    <mergeCell ref="V76:X76"/>
    <mergeCell ref="Y76:Z76"/>
    <mergeCell ref="AC29:AD29"/>
    <mergeCell ref="AG29:AH29"/>
    <mergeCell ref="AG34:AH34"/>
    <mergeCell ref="AG35:AH35"/>
    <mergeCell ref="AG36:AH36"/>
    <mergeCell ref="AG37:AH37"/>
    <mergeCell ref="AC38:AE38"/>
    <mergeCell ref="AG38:AH38"/>
    <mergeCell ref="AC39:AE39"/>
    <mergeCell ref="AG39:AH39"/>
    <mergeCell ref="AC40:AE40"/>
    <mergeCell ref="AG40:AH40"/>
    <mergeCell ref="AC50:AD50"/>
    <mergeCell ref="AG50:AH50"/>
    <mergeCell ref="AC51:AD51"/>
    <mergeCell ref="AG51:AH51"/>
    <mergeCell ref="AC44:AD44"/>
    <mergeCell ref="AG44:AH44"/>
    <mergeCell ref="V62:X62"/>
    <mergeCell ref="AC55:AG55"/>
    <mergeCell ref="AC56:AE56"/>
    <mergeCell ref="AC57:AE57"/>
    <mergeCell ref="AC58:AE58"/>
    <mergeCell ref="AC59:AE59"/>
    <mergeCell ref="AC60:AE60"/>
    <mergeCell ref="AC61:AE61"/>
    <mergeCell ref="AC62:AE62"/>
    <mergeCell ref="AC63:AE63"/>
    <mergeCell ref="AC76:AE76"/>
    <mergeCell ref="AF76:AG76"/>
    <mergeCell ref="AC64:AE64"/>
    <mergeCell ref="AC65:AE65"/>
    <mergeCell ref="AC66:AE66"/>
    <mergeCell ref="AC67:AE67"/>
    <mergeCell ref="AC70:AG70"/>
    <mergeCell ref="AC71:AE71"/>
    <mergeCell ref="AF71:AG71"/>
    <mergeCell ref="AC74:AG74"/>
    <mergeCell ref="AC75:AE75"/>
    <mergeCell ref="AF75:AG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05FB-391B-42B5-A330-6245E03744AE}">
  <dimension ref="A1:N22"/>
  <sheetViews>
    <sheetView zoomScale="96" workbookViewId="0">
      <selection activeCell="J21" sqref="J21"/>
    </sheetView>
  </sheetViews>
  <sheetFormatPr defaultRowHeight="14.4" x14ac:dyDescent="0.3"/>
  <cols>
    <col min="1" max="1" width="20.5546875" bestFit="1" customWidth="1"/>
    <col min="2" max="2" width="13.109375" bestFit="1" customWidth="1"/>
    <col min="6" max="6" width="13.6640625" bestFit="1" customWidth="1"/>
    <col min="7" max="7" width="14.21875" bestFit="1" customWidth="1"/>
    <col min="8" max="8" width="13.6640625" bestFit="1" customWidth="1"/>
    <col min="9" max="9" width="14.88671875" bestFit="1" customWidth="1"/>
    <col min="10" max="10" width="16.33203125" customWidth="1"/>
    <col min="13" max="13" width="18.5546875" bestFit="1" customWidth="1"/>
    <col min="14" max="14" width="24.109375" bestFit="1" customWidth="1"/>
  </cols>
  <sheetData>
    <row r="1" spans="1:14" x14ac:dyDescent="0.3">
      <c r="A1" s="47" t="s">
        <v>130</v>
      </c>
      <c r="B1" s="48">
        <v>0.2</v>
      </c>
      <c r="C1" s="47" t="s">
        <v>46</v>
      </c>
      <c r="E1" s="22">
        <f>1+B1</f>
        <v>1.2</v>
      </c>
    </row>
    <row r="2" spans="1:14" x14ac:dyDescent="0.3">
      <c r="A2" s="49" t="s">
        <v>110</v>
      </c>
      <c r="B2" s="50">
        <f>RATE(12,,-1,E1)</f>
        <v>1.5309470499732226E-2</v>
      </c>
      <c r="C2" s="49" t="s">
        <v>48</v>
      </c>
    </row>
    <row r="4" spans="1:14" x14ac:dyDescent="0.3">
      <c r="M4" s="60" t="s">
        <v>134</v>
      </c>
      <c r="N4" s="60" t="s">
        <v>135</v>
      </c>
    </row>
    <row r="5" spans="1:14" x14ac:dyDescent="0.3">
      <c r="A5" s="52" t="s">
        <v>111</v>
      </c>
      <c r="B5" s="51">
        <v>537170</v>
      </c>
      <c r="M5" s="63">
        <v>0</v>
      </c>
      <c r="N5" s="63">
        <v>0</v>
      </c>
    </row>
    <row r="6" spans="1:14" x14ac:dyDescent="0.3">
      <c r="M6" s="63">
        <f>PV(B1,E18,,-F18)</f>
        <v>2952.6916666666634</v>
      </c>
      <c r="N6" s="63">
        <f>M6</f>
        <v>2952.6916666666634</v>
      </c>
    </row>
    <row r="7" spans="1:14" x14ac:dyDescent="0.3">
      <c r="M7" s="63">
        <f>PV(B1,E19,,-F19)</f>
        <v>69520.819444444453</v>
      </c>
      <c r="N7" s="63">
        <f>M7+N6</f>
        <v>72473.511111111118</v>
      </c>
    </row>
    <row r="8" spans="1:14" x14ac:dyDescent="0.3">
      <c r="F8" s="55" t="s">
        <v>115</v>
      </c>
      <c r="G8" s="55" t="s">
        <v>116</v>
      </c>
      <c r="H8" s="55" t="s">
        <v>117</v>
      </c>
      <c r="I8" s="55" t="s">
        <v>118</v>
      </c>
      <c r="J8" s="55" t="s">
        <v>119</v>
      </c>
      <c r="M8" s="68">
        <f>PV(B1,E20,,-F20)</f>
        <v>132143.05555555553</v>
      </c>
      <c r="N8" s="68">
        <f>M8+N7</f>
        <v>204616.56666666665</v>
      </c>
    </row>
    <row r="9" spans="1:14" x14ac:dyDescent="0.3">
      <c r="E9" s="53" t="s">
        <v>112</v>
      </c>
      <c r="F9" s="35">
        <v>82138.23</v>
      </c>
      <c r="G9" s="35">
        <v>179474.98</v>
      </c>
      <c r="H9" s="35">
        <v>332512.09999999998</v>
      </c>
      <c r="I9" s="35">
        <v>527374.69999999995</v>
      </c>
      <c r="J9" s="35">
        <v>1011021.14</v>
      </c>
      <c r="M9" s="67">
        <f>PV(B1,E21,,-F21)</f>
        <v>195136.10628858025</v>
      </c>
      <c r="N9" s="67">
        <f>M9+N8</f>
        <v>399752.67295524688</v>
      </c>
    </row>
    <row r="10" spans="1:14" x14ac:dyDescent="0.3">
      <c r="E10" s="54" t="s">
        <v>113</v>
      </c>
      <c r="F10" s="56">
        <v>78595</v>
      </c>
      <c r="G10" s="56">
        <v>79365</v>
      </c>
      <c r="H10" s="56">
        <v>104168.9</v>
      </c>
      <c r="I10" s="56">
        <v>122740.47</v>
      </c>
      <c r="J10" s="56">
        <v>149813.76000000001</v>
      </c>
      <c r="M10" s="67">
        <f>PV(B1,E22,,-F22)</f>
        <v>346099.93087705766</v>
      </c>
      <c r="N10" s="67">
        <f>M10+N9</f>
        <v>745852.60383230448</v>
      </c>
    </row>
    <row r="11" spans="1:14" x14ac:dyDescent="0.3">
      <c r="E11" s="55" t="s">
        <v>114</v>
      </c>
      <c r="F11" s="57">
        <f>F9-F10</f>
        <v>3543.2299999999959</v>
      </c>
      <c r="G11" s="57">
        <f>G9-G10</f>
        <v>100109.98000000001</v>
      </c>
      <c r="H11" s="57">
        <f>H9-H10</f>
        <v>228343.19999999998</v>
      </c>
      <c r="I11" s="57">
        <f>I9-I10</f>
        <v>404634.23</v>
      </c>
      <c r="J11" s="57">
        <f>J9-J10</f>
        <v>861207.38</v>
      </c>
      <c r="M11" s="45"/>
      <c r="N11" s="45"/>
    </row>
    <row r="12" spans="1:14" x14ac:dyDescent="0.3">
      <c r="M12" s="63">
        <f>-F17-N9</f>
        <v>137417.32704475312</v>
      </c>
      <c r="N12" s="45"/>
    </row>
    <row r="13" spans="1:14" x14ac:dyDescent="0.3">
      <c r="M13" s="63">
        <f>N10-N9</f>
        <v>346099.9308770576</v>
      </c>
      <c r="N13" s="45"/>
    </row>
    <row r="14" spans="1:14" x14ac:dyDescent="0.3">
      <c r="M14" s="69">
        <f>M12/M13</f>
        <v>0.3970452311172718</v>
      </c>
    </row>
    <row r="16" spans="1:14" x14ac:dyDescent="0.3">
      <c r="E16" s="58" t="s">
        <v>120</v>
      </c>
      <c r="F16" s="58" t="s">
        <v>121</v>
      </c>
      <c r="H16" s="61" t="s">
        <v>122</v>
      </c>
      <c r="I16" s="62">
        <f>NPV(B1,F18:F22)</f>
        <v>745852.60383230459</v>
      </c>
    </row>
    <row r="17" spans="5:10" x14ac:dyDescent="0.3">
      <c r="E17" s="58">
        <v>0</v>
      </c>
      <c r="F17" s="59">
        <f>-B5</f>
        <v>-537170</v>
      </c>
      <c r="H17" s="61" t="s">
        <v>109</v>
      </c>
      <c r="I17" s="63">
        <f>NPV(B1,F18:F22)+F17</f>
        <v>208682.60383230459</v>
      </c>
    </row>
    <row r="18" spans="5:10" x14ac:dyDescent="0.3">
      <c r="E18" s="58">
        <v>1</v>
      </c>
      <c r="F18" s="59">
        <f>F11</f>
        <v>3543.2299999999959</v>
      </c>
      <c r="H18" s="61" t="s">
        <v>123</v>
      </c>
      <c r="I18" s="62">
        <f>PMT(B1,E22,-I17)</f>
        <v>69779.22715115032</v>
      </c>
    </row>
    <row r="19" spans="5:10" x14ac:dyDescent="0.3">
      <c r="E19" s="58">
        <v>2</v>
      </c>
      <c r="F19" s="59">
        <f>G11</f>
        <v>100109.98000000001</v>
      </c>
      <c r="H19" s="61" t="s">
        <v>124</v>
      </c>
      <c r="I19" s="64">
        <f>I16/-F17</f>
        <v>1.388485216658236</v>
      </c>
    </row>
    <row r="20" spans="5:10" x14ac:dyDescent="0.3">
      <c r="E20" s="58">
        <v>3</v>
      </c>
      <c r="F20" s="59">
        <f>H11</f>
        <v>228343.19999999998</v>
      </c>
      <c r="H20" s="61" t="s">
        <v>125</v>
      </c>
      <c r="I20" s="66">
        <f>RATE(E22,,-1,I19)</f>
        <v>6.7845082464158907E-2</v>
      </c>
      <c r="J20" t="s">
        <v>46</v>
      </c>
    </row>
    <row r="21" spans="5:10" x14ac:dyDescent="0.3">
      <c r="E21" s="58">
        <v>4</v>
      </c>
      <c r="F21" s="59">
        <f>I11</f>
        <v>404634.23</v>
      </c>
      <c r="H21" s="61" t="s">
        <v>126</v>
      </c>
      <c r="I21" s="69">
        <f>4+M14</f>
        <v>4.3970452311172714</v>
      </c>
      <c r="J21" t="s">
        <v>139</v>
      </c>
    </row>
    <row r="22" spans="5:10" x14ac:dyDescent="0.3">
      <c r="E22" s="58">
        <v>5</v>
      </c>
      <c r="F22" s="59">
        <f>J11</f>
        <v>861207.38</v>
      </c>
      <c r="H22" s="61" t="s">
        <v>127</v>
      </c>
      <c r="I22" s="65">
        <f>IRR(F17:F22)</f>
        <v>0.30141771208719059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1519-B63D-4693-B79C-076BFB1006C9}">
  <dimension ref="A1:O24"/>
  <sheetViews>
    <sheetView workbookViewId="0">
      <selection activeCell="E19" sqref="E19"/>
    </sheetView>
  </sheetViews>
  <sheetFormatPr defaultRowHeight="14.4" x14ac:dyDescent="0.3"/>
  <cols>
    <col min="1" max="1" width="21.77734375" bestFit="1" customWidth="1"/>
    <col min="2" max="2" width="12.88671875" bestFit="1" customWidth="1"/>
    <col min="7" max="8" width="13.6640625" bestFit="1" customWidth="1"/>
    <col min="9" max="9" width="13.5546875" bestFit="1" customWidth="1"/>
    <col min="10" max="10" width="13.33203125" bestFit="1" customWidth="1"/>
    <col min="11" max="11" width="14.21875" bestFit="1" customWidth="1"/>
    <col min="14" max="14" width="15" bestFit="1" customWidth="1"/>
    <col min="15" max="15" width="14.77734375" bestFit="1" customWidth="1"/>
  </cols>
  <sheetData>
    <row r="1" spans="1:15" x14ac:dyDescent="0.3">
      <c r="A1" s="47" t="s">
        <v>130</v>
      </c>
      <c r="B1" s="48">
        <v>0.2</v>
      </c>
      <c r="C1" s="47" t="s">
        <v>46</v>
      </c>
      <c r="E1" s="22">
        <v>1.2</v>
      </c>
    </row>
    <row r="2" spans="1:15" x14ac:dyDescent="0.3">
      <c r="A2" s="49" t="s">
        <v>110</v>
      </c>
      <c r="B2" s="50">
        <f>RATE(12,,-1,E1)</f>
        <v>1.5309470499732226E-2</v>
      </c>
      <c r="C2" s="49" t="s">
        <v>48</v>
      </c>
    </row>
    <row r="4" spans="1:15" x14ac:dyDescent="0.3">
      <c r="A4" s="52" t="s">
        <v>111</v>
      </c>
      <c r="B4" s="51">
        <v>537170</v>
      </c>
    </row>
    <row r="6" spans="1:15" x14ac:dyDescent="0.3">
      <c r="A6" s="80" t="s">
        <v>132</v>
      </c>
      <c r="B6" s="89">
        <v>-0.08</v>
      </c>
    </row>
    <row r="7" spans="1:15" x14ac:dyDescent="0.3">
      <c r="A7" s="80" t="s">
        <v>133</v>
      </c>
      <c r="B7" s="89">
        <v>0.06</v>
      </c>
      <c r="C7" t="s">
        <v>46</v>
      </c>
    </row>
    <row r="9" spans="1:15" x14ac:dyDescent="0.3">
      <c r="N9" s="80" t="s">
        <v>128</v>
      </c>
      <c r="O9" s="80" t="s">
        <v>129</v>
      </c>
    </row>
    <row r="10" spans="1:15" x14ac:dyDescent="0.3">
      <c r="N10" s="81">
        <v>0</v>
      </c>
      <c r="O10" s="81">
        <v>0</v>
      </c>
    </row>
    <row r="11" spans="1:15" x14ac:dyDescent="0.3">
      <c r="G11" s="55" t="s">
        <v>115</v>
      </c>
      <c r="H11" s="55" t="s">
        <v>116</v>
      </c>
      <c r="I11" s="55" t="s">
        <v>117</v>
      </c>
      <c r="J11" s="55" t="s">
        <v>118</v>
      </c>
      <c r="K11" s="55" t="s">
        <v>119</v>
      </c>
      <c r="N11" s="81">
        <f>PV(B1,F20,,-G20)</f>
        <v>-6452.9403333333303</v>
      </c>
      <c r="O11" s="81">
        <f>N11</f>
        <v>-6452.9403333333303</v>
      </c>
    </row>
    <row r="12" spans="1:15" x14ac:dyDescent="0.3">
      <c r="F12" s="49" t="s">
        <v>112</v>
      </c>
      <c r="G12" s="72">
        <f>(82138.23*B6)+82138.23</f>
        <v>75567.171600000001</v>
      </c>
      <c r="H12" s="72">
        <f>(179474.98*B6)+179474.98</f>
        <v>165116.9816</v>
      </c>
      <c r="I12" s="72">
        <f>(332512.1*B6)+332512.1</f>
        <v>305911.13199999998</v>
      </c>
      <c r="J12" s="72">
        <f>(527374.7*B6)+527374.7</f>
        <v>485184.72399999993</v>
      </c>
      <c r="K12" s="72">
        <f>(1011021.14*B6)+1011021.14</f>
        <v>930139.44880000001</v>
      </c>
      <c r="N12" s="81">
        <f>PV(B1,F21,,-G21)</f>
        <v>56243.112222222226</v>
      </c>
      <c r="O12" s="81">
        <f>N12+O11</f>
        <v>49790.171888888894</v>
      </c>
    </row>
    <row r="13" spans="1:15" x14ac:dyDescent="0.3">
      <c r="F13" s="80" t="s">
        <v>113</v>
      </c>
      <c r="G13" s="81">
        <f>(78595*B7)+78595</f>
        <v>83310.7</v>
      </c>
      <c r="H13" s="81">
        <f>(79365*B7)+79365</f>
        <v>84126.9</v>
      </c>
      <c r="I13" s="81">
        <f>(104168.9*B7)+104168.9</f>
        <v>110419.034</v>
      </c>
      <c r="J13" s="81">
        <f>(122740.47*B7)+122740.47</f>
        <v>130104.8982</v>
      </c>
      <c r="K13" s="81">
        <f>(149813.76*B7)+149813.76</f>
        <v>158802.58560000002</v>
      </c>
      <c r="N13" s="81">
        <f>PV(B1,F22,,-G22)</f>
        <v>113132.0011574074</v>
      </c>
      <c r="O13" s="81">
        <f>N13+O12</f>
        <v>162922.17304629629</v>
      </c>
    </row>
    <row r="14" spans="1:15" x14ac:dyDescent="0.3">
      <c r="F14" s="55" t="s">
        <v>114</v>
      </c>
      <c r="G14" s="57">
        <f>G12-G13</f>
        <v>-7743.5283999999956</v>
      </c>
      <c r="H14" s="57">
        <f>H12-H13</f>
        <v>80990.081600000005</v>
      </c>
      <c r="I14" s="57">
        <f>I12-I13</f>
        <v>195492.098</v>
      </c>
      <c r="J14" s="57">
        <f>J12-J13</f>
        <v>355079.82579999993</v>
      </c>
      <c r="K14" s="57">
        <f>K12-K13</f>
        <v>771336.86320000002</v>
      </c>
      <c r="N14" s="90">
        <f>PV(B1,F23,,-G23)</f>
        <v>171238.34191743826</v>
      </c>
      <c r="O14" s="90">
        <f>N14+O13</f>
        <v>334160.51496373455</v>
      </c>
    </row>
    <row r="15" spans="1:15" x14ac:dyDescent="0.3">
      <c r="N15" s="90">
        <f>PV(B1,F24,,-G24)</f>
        <v>309982.98578960908</v>
      </c>
      <c r="O15" s="90">
        <f>N15+O14</f>
        <v>644143.50075334357</v>
      </c>
    </row>
    <row r="18" spans="6:14" x14ac:dyDescent="0.3">
      <c r="F18" s="82" t="s">
        <v>120</v>
      </c>
      <c r="G18" s="82" t="s">
        <v>121</v>
      </c>
      <c r="I18" s="84" t="s">
        <v>122</v>
      </c>
      <c r="J18" s="85">
        <f>NPV(B1,G20:G24)</f>
        <v>644143.50075334369</v>
      </c>
      <c r="N18" s="81">
        <f>-G19-O14</f>
        <v>203009.48503626545</v>
      </c>
    </row>
    <row r="19" spans="6:14" x14ac:dyDescent="0.3">
      <c r="F19" s="82">
        <v>0</v>
      </c>
      <c r="G19" s="83">
        <f>-B4</f>
        <v>-537170</v>
      </c>
      <c r="I19" s="84" t="s">
        <v>109</v>
      </c>
      <c r="J19" s="81">
        <f>NPV(B1,G20:G24)+G19</f>
        <v>106973.50075334369</v>
      </c>
      <c r="N19" s="81">
        <f>O15-O14</f>
        <v>309982.98578960903</v>
      </c>
    </row>
    <row r="20" spans="6:14" x14ac:dyDescent="0.3">
      <c r="F20" s="82">
        <v>1</v>
      </c>
      <c r="G20" s="83">
        <f>G14</f>
        <v>-7743.5283999999956</v>
      </c>
      <c r="I20" s="84" t="s">
        <v>123</v>
      </c>
      <c r="J20" s="85">
        <f>PMT(B1,F24,-J19)</f>
        <v>35769.767441754484</v>
      </c>
      <c r="N20" s="88">
        <f>N18/N19</f>
        <v>0.65490525074834782</v>
      </c>
    </row>
    <row r="21" spans="6:14" x14ac:dyDescent="0.3">
      <c r="F21" s="82">
        <v>2</v>
      </c>
      <c r="G21" s="83">
        <f>H14</f>
        <v>80990.081600000005</v>
      </c>
      <c r="I21" s="84" t="s">
        <v>124</v>
      </c>
      <c r="J21" s="86">
        <f>J18/-G19</f>
        <v>1.1991427308921638</v>
      </c>
    </row>
    <row r="22" spans="6:14" x14ac:dyDescent="0.3">
      <c r="F22" s="82">
        <v>3</v>
      </c>
      <c r="G22" s="83">
        <f>I14</f>
        <v>195492.098</v>
      </c>
      <c r="I22" s="84" t="s">
        <v>125</v>
      </c>
      <c r="J22" s="87">
        <f>RATE(F24,,-1,J21)</f>
        <v>3.6989062681092477E-2</v>
      </c>
      <c r="K22" t="s">
        <v>46</v>
      </c>
    </row>
    <row r="23" spans="6:14" x14ac:dyDescent="0.3">
      <c r="F23" s="82">
        <v>4</v>
      </c>
      <c r="G23" s="83">
        <f>J14</f>
        <v>355079.82579999993</v>
      </c>
      <c r="I23" s="84" t="s">
        <v>126</v>
      </c>
      <c r="J23" s="88">
        <f>4+N20</f>
        <v>4.6549052507483477</v>
      </c>
      <c r="K23" t="s">
        <v>139</v>
      </c>
    </row>
    <row r="24" spans="6:14" x14ac:dyDescent="0.3">
      <c r="F24" s="82">
        <v>5</v>
      </c>
      <c r="G24" s="83">
        <f>K14</f>
        <v>771336.86320000002</v>
      </c>
      <c r="I24" s="84" t="s">
        <v>127</v>
      </c>
      <c r="J24" s="89">
        <f>IRR(G19:G24)</f>
        <v>0.25379357273783243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E600-5214-4D8A-903F-2C78DEE43379}">
  <dimension ref="A1:O23"/>
  <sheetViews>
    <sheetView tabSelected="1" workbookViewId="0">
      <selection activeCell="N18" sqref="N18"/>
    </sheetView>
  </sheetViews>
  <sheetFormatPr defaultRowHeight="14.4" x14ac:dyDescent="0.3"/>
  <cols>
    <col min="1" max="1" width="20.5546875" bestFit="1" customWidth="1"/>
    <col min="2" max="2" width="12.88671875" bestFit="1" customWidth="1"/>
    <col min="7" max="7" width="14.21875" bestFit="1" customWidth="1"/>
    <col min="8" max="8" width="13.6640625" bestFit="1" customWidth="1"/>
    <col min="9" max="9" width="13.5546875" bestFit="1" customWidth="1"/>
    <col min="10" max="11" width="14.21875" bestFit="1" customWidth="1"/>
    <col min="14" max="14" width="15" bestFit="1" customWidth="1"/>
    <col min="15" max="15" width="14.77734375" bestFit="1" customWidth="1"/>
  </cols>
  <sheetData>
    <row r="1" spans="1:15" x14ac:dyDescent="0.3">
      <c r="A1" s="47" t="s">
        <v>130</v>
      </c>
      <c r="B1" s="48">
        <v>0.2</v>
      </c>
      <c r="C1" s="47" t="s">
        <v>46</v>
      </c>
      <c r="E1" s="22">
        <v>1.2</v>
      </c>
    </row>
    <row r="2" spans="1:15" x14ac:dyDescent="0.3">
      <c r="A2" s="49" t="s">
        <v>110</v>
      </c>
      <c r="B2" s="50">
        <f>RATE(12,,-1,E1)</f>
        <v>1.5309470499732226E-2</v>
      </c>
      <c r="C2" s="49" t="s">
        <v>48</v>
      </c>
    </row>
    <row r="4" spans="1:15" x14ac:dyDescent="0.3">
      <c r="A4" s="52" t="s">
        <v>111</v>
      </c>
      <c r="B4" s="51">
        <v>537170</v>
      </c>
    </row>
    <row r="6" spans="1:15" x14ac:dyDescent="0.3">
      <c r="A6" s="21" t="s">
        <v>131</v>
      </c>
      <c r="B6" s="70">
        <v>0.08</v>
      </c>
      <c r="C6" t="s">
        <v>46</v>
      </c>
    </row>
    <row r="8" spans="1:15" x14ac:dyDescent="0.3">
      <c r="N8" s="49" t="s">
        <v>128</v>
      </c>
      <c r="O8" s="49" t="s">
        <v>129</v>
      </c>
    </row>
    <row r="9" spans="1:15" x14ac:dyDescent="0.3">
      <c r="N9" s="72">
        <v>0</v>
      </c>
      <c r="O9" s="72">
        <v>0</v>
      </c>
    </row>
    <row r="10" spans="1:15" x14ac:dyDescent="0.3">
      <c r="N10" s="72">
        <f>PV(B1,F19,,-G19)</f>
        <v>8428.5736666666598</v>
      </c>
      <c r="O10" s="72">
        <f>N10</f>
        <v>8428.5736666666598</v>
      </c>
    </row>
    <row r="11" spans="1:15" x14ac:dyDescent="0.3">
      <c r="G11" s="55" t="s">
        <v>115</v>
      </c>
      <c r="H11" s="55" t="s">
        <v>116</v>
      </c>
      <c r="I11" s="55" t="s">
        <v>117</v>
      </c>
      <c r="J11" s="55" t="s">
        <v>118</v>
      </c>
      <c r="K11" s="55" t="s">
        <v>119</v>
      </c>
      <c r="N11" s="72">
        <f>PV(B1,F20,,-G20)</f>
        <v>79491.651666666687</v>
      </c>
      <c r="O11" s="72">
        <f>N11+O10</f>
        <v>87920.22533333335</v>
      </c>
    </row>
    <row r="12" spans="1:15" x14ac:dyDescent="0.3">
      <c r="F12" s="49" t="s">
        <v>112</v>
      </c>
      <c r="G12" s="72">
        <f>(82138.23*B6)+82138.23</f>
        <v>88709.28839999999</v>
      </c>
      <c r="H12" s="72">
        <f>(179474.98*B6)+179474.98</f>
        <v>193832.97840000002</v>
      </c>
      <c r="I12" s="72">
        <f>(332512.1*B6)+332512.1</f>
        <v>359113.06799999997</v>
      </c>
      <c r="J12" s="72">
        <f>(527374.7*B6)+527374.7</f>
        <v>569564.67599999998</v>
      </c>
      <c r="K12" s="72">
        <f>(1011021.14*B6)+1011021.14</f>
        <v>1091902.8311999999</v>
      </c>
      <c r="N12" s="72">
        <f>PV(B1,F21,,-G21)</f>
        <v>147537.13425925924</v>
      </c>
      <c r="O12" s="72">
        <f>N12+O11</f>
        <v>235457.35959259258</v>
      </c>
    </row>
    <row r="13" spans="1:15" x14ac:dyDescent="0.3">
      <c r="F13" s="54" t="s">
        <v>113</v>
      </c>
      <c r="G13" s="56">
        <v>78595</v>
      </c>
      <c r="H13" s="56">
        <v>79365</v>
      </c>
      <c r="I13" s="56">
        <v>104168.9</v>
      </c>
      <c r="J13" s="56">
        <v>122740.47</v>
      </c>
      <c r="K13" s="56">
        <v>149813.76000000001</v>
      </c>
      <c r="N13" s="71">
        <f>PV(B1,F22,,-G22)</f>
        <v>215482.35243055556</v>
      </c>
      <c r="O13" s="71">
        <f>N13+O12</f>
        <v>450939.71202314814</v>
      </c>
    </row>
    <row r="14" spans="1:15" x14ac:dyDescent="0.3">
      <c r="F14" s="55" t="s">
        <v>114</v>
      </c>
      <c r="G14" s="57">
        <f>G12-G13</f>
        <v>10114.28839999999</v>
      </c>
      <c r="H14" s="57">
        <f>H12-H13</f>
        <v>114467.97840000002</v>
      </c>
      <c r="I14" s="57">
        <f>I12-I13</f>
        <v>254944.16799999998</v>
      </c>
      <c r="J14" s="57">
        <f>J12-J13</f>
        <v>446824.20600000001</v>
      </c>
      <c r="K14" s="57">
        <f>K12-K13</f>
        <v>942089.07119999989</v>
      </c>
      <c r="N14" s="71">
        <f>PV(B1,F23,,-G23)</f>
        <v>378604.46855709876</v>
      </c>
      <c r="O14" s="71">
        <f>N14+O13</f>
        <v>829544.18058024696</v>
      </c>
    </row>
    <row r="17" spans="6:14" x14ac:dyDescent="0.3">
      <c r="F17" s="73" t="s">
        <v>120</v>
      </c>
      <c r="G17" s="73" t="s">
        <v>121</v>
      </c>
      <c r="I17" s="75" t="s">
        <v>122</v>
      </c>
      <c r="J17" s="76">
        <f>NPV(B1,G19:G23)</f>
        <v>829544.18058024684</v>
      </c>
      <c r="N17" s="72">
        <f>-G18-O13</f>
        <v>86230.287976851861</v>
      </c>
    </row>
    <row r="18" spans="6:14" x14ac:dyDescent="0.3">
      <c r="F18" s="73">
        <v>0</v>
      </c>
      <c r="G18" s="74">
        <f>-B4</f>
        <v>-537170</v>
      </c>
      <c r="I18" s="75" t="s">
        <v>109</v>
      </c>
      <c r="J18" s="72">
        <f>NPV(B1,G19:G23)+G18</f>
        <v>292374.18058024684</v>
      </c>
      <c r="N18" s="72">
        <f>O14-O13</f>
        <v>378604.46855709882</v>
      </c>
    </row>
    <row r="19" spans="6:14" x14ac:dyDescent="0.3">
      <c r="F19" s="73">
        <v>1</v>
      </c>
      <c r="G19" s="74">
        <f>G14</f>
        <v>10114.28839999999</v>
      </c>
      <c r="I19" s="75" t="s">
        <v>123</v>
      </c>
      <c r="J19" s="76">
        <f>PMT(B1,F23,-J18)</f>
        <v>97763.991751967304</v>
      </c>
      <c r="N19" s="78">
        <f>N17/N18</f>
        <v>0.22775824148479942</v>
      </c>
    </row>
    <row r="20" spans="6:14" x14ac:dyDescent="0.3">
      <c r="F20" s="73">
        <v>2</v>
      </c>
      <c r="G20" s="74">
        <f>H14</f>
        <v>114467.97840000002</v>
      </c>
      <c r="I20" s="75" t="s">
        <v>124</v>
      </c>
      <c r="J20" s="77">
        <f>J17/-G18</f>
        <v>1.5442861302385591</v>
      </c>
    </row>
    <row r="21" spans="6:14" x14ac:dyDescent="0.3">
      <c r="F21" s="73">
        <v>3</v>
      </c>
      <c r="G21" s="74">
        <f>I14</f>
        <v>254944.16799999998</v>
      </c>
      <c r="I21" s="75" t="s">
        <v>125</v>
      </c>
      <c r="J21" s="50">
        <f>RATE(F23,,-1,J20)</f>
        <v>9.0801067239019276E-2</v>
      </c>
      <c r="K21" t="s">
        <v>46</v>
      </c>
    </row>
    <row r="22" spans="6:14" x14ac:dyDescent="0.3">
      <c r="F22" s="73">
        <v>4</v>
      </c>
      <c r="G22" s="74">
        <f>J14</f>
        <v>446824.20600000001</v>
      </c>
      <c r="I22" s="75" t="s">
        <v>126</v>
      </c>
      <c r="J22" s="78">
        <f>4+N19</f>
        <v>4.2277582414847998</v>
      </c>
      <c r="K22" t="s">
        <v>139</v>
      </c>
    </row>
    <row r="23" spans="6:14" x14ac:dyDescent="0.3">
      <c r="F23" s="73">
        <v>5</v>
      </c>
      <c r="G23" s="74">
        <f>K14</f>
        <v>942089.07119999989</v>
      </c>
      <c r="I23" s="75" t="s">
        <v>127</v>
      </c>
      <c r="J23" s="79">
        <f>IRR(G18:G23)</f>
        <v>0.33791677492314465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678D-5946-40D9-B16B-0606483BE126}">
  <dimension ref="A3:M17"/>
  <sheetViews>
    <sheetView topLeftCell="A5" workbookViewId="0">
      <selection activeCell="F13" sqref="F13"/>
    </sheetView>
  </sheetViews>
  <sheetFormatPr defaultRowHeight="14.4" x14ac:dyDescent="0.3"/>
  <cols>
    <col min="6" max="6" width="12.5546875" bestFit="1" customWidth="1"/>
    <col min="9" max="9" width="12.5546875" bestFit="1" customWidth="1"/>
    <col min="12" max="12" width="12.5546875" bestFit="1" customWidth="1"/>
  </cols>
  <sheetData>
    <row r="3" spans="1:13" x14ac:dyDescent="0.3">
      <c r="D3" s="45"/>
      <c r="E3" s="45"/>
      <c r="F3" s="45"/>
    </row>
    <row r="4" spans="1:13" x14ac:dyDescent="0.3">
      <c r="D4" s="45"/>
      <c r="E4" s="45"/>
      <c r="F4" s="45"/>
    </row>
    <row r="5" spans="1:13" x14ac:dyDescent="0.3">
      <c r="D5" s="45"/>
      <c r="E5" s="45"/>
      <c r="F5" s="45"/>
    </row>
    <row r="6" spans="1:13" x14ac:dyDescent="0.3">
      <c r="D6" s="45"/>
      <c r="E6" s="45"/>
      <c r="F6" s="45"/>
    </row>
    <row r="7" spans="1:13" x14ac:dyDescent="0.3">
      <c r="D7" s="45"/>
      <c r="E7" s="45"/>
      <c r="F7" s="45"/>
    </row>
    <row r="8" spans="1:13" x14ac:dyDescent="0.3">
      <c r="D8" s="45"/>
      <c r="E8" s="45"/>
      <c r="F8" s="45"/>
    </row>
    <row r="9" spans="1:13" x14ac:dyDescent="0.3">
      <c r="A9" s="140"/>
      <c r="B9" s="140"/>
      <c r="C9" s="140"/>
      <c r="D9" s="39"/>
      <c r="E9" s="141" t="s">
        <v>136</v>
      </c>
      <c r="F9" s="141"/>
      <c r="H9" s="142" t="s">
        <v>137</v>
      </c>
      <c r="I9" s="142"/>
      <c r="K9" s="143" t="s">
        <v>138</v>
      </c>
      <c r="L9" s="143"/>
    </row>
    <row r="11" spans="1:13" x14ac:dyDescent="0.3">
      <c r="E11" s="61" t="s">
        <v>122</v>
      </c>
      <c r="F11" s="62">
        <v>745852.6</v>
      </c>
      <c r="H11" s="75" t="s">
        <v>122</v>
      </c>
      <c r="I11" s="76">
        <v>829544.18</v>
      </c>
      <c r="K11" s="84" t="s">
        <v>122</v>
      </c>
      <c r="L11" s="85">
        <v>644143.5</v>
      </c>
    </row>
    <row r="12" spans="1:13" x14ac:dyDescent="0.3">
      <c r="E12" s="61" t="s">
        <v>109</v>
      </c>
      <c r="F12" s="63">
        <v>208682.6</v>
      </c>
      <c r="H12" s="75" t="s">
        <v>109</v>
      </c>
      <c r="I12" s="72">
        <v>292374.18</v>
      </c>
      <c r="K12" s="84" t="s">
        <v>109</v>
      </c>
      <c r="L12" s="81">
        <v>106973.5</v>
      </c>
    </row>
    <row r="13" spans="1:13" x14ac:dyDescent="0.3">
      <c r="E13" s="61" t="s">
        <v>123</v>
      </c>
      <c r="F13" s="62">
        <v>69779.23</v>
      </c>
      <c r="H13" s="75" t="s">
        <v>123</v>
      </c>
      <c r="I13" s="76">
        <v>97763.99</v>
      </c>
      <c r="K13" s="84" t="s">
        <v>123</v>
      </c>
      <c r="L13" s="85">
        <v>35769.769999999997</v>
      </c>
    </row>
    <row r="14" spans="1:13" x14ac:dyDescent="0.3">
      <c r="E14" s="61" t="s">
        <v>124</v>
      </c>
      <c r="F14" s="64">
        <v>1.3879999999999999</v>
      </c>
      <c r="H14" s="75" t="s">
        <v>124</v>
      </c>
      <c r="I14" s="77">
        <v>1.544</v>
      </c>
      <c r="K14" s="84" t="s">
        <v>124</v>
      </c>
      <c r="L14" s="86">
        <v>1.1990000000000001</v>
      </c>
    </row>
    <row r="15" spans="1:13" x14ac:dyDescent="0.3">
      <c r="E15" s="61" t="s">
        <v>125</v>
      </c>
      <c r="F15" s="66">
        <v>6.7799999999999999E-2</v>
      </c>
      <c r="G15" t="s">
        <v>46</v>
      </c>
      <c r="H15" s="75" t="s">
        <v>125</v>
      </c>
      <c r="I15" s="50">
        <v>9.0800000000000006E-2</v>
      </c>
      <c r="J15" t="s">
        <v>46</v>
      </c>
      <c r="K15" s="84" t="s">
        <v>125</v>
      </c>
      <c r="L15" s="87">
        <v>3.6999999999999998E-2</v>
      </c>
      <c r="M15" t="s">
        <v>46</v>
      </c>
    </row>
    <row r="16" spans="1:13" x14ac:dyDescent="0.3">
      <c r="E16" s="61" t="s">
        <v>126</v>
      </c>
      <c r="F16" s="69">
        <v>4.4000000000000004</v>
      </c>
      <c r="G16" t="s">
        <v>139</v>
      </c>
      <c r="H16" s="75" t="s">
        <v>126</v>
      </c>
      <c r="I16" s="78">
        <v>4.2300000000000004</v>
      </c>
      <c r="J16" t="s">
        <v>139</v>
      </c>
      <c r="K16" s="84" t="s">
        <v>126</v>
      </c>
      <c r="L16" s="88">
        <v>4.6500000000000004</v>
      </c>
      <c r="M16" t="s">
        <v>139</v>
      </c>
    </row>
    <row r="17" spans="5:12" x14ac:dyDescent="0.3">
      <c r="E17" s="61" t="s">
        <v>127</v>
      </c>
      <c r="F17" s="65">
        <v>0.3</v>
      </c>
      <c r="H17" s="75" t="s">
        <v>127</v>
      </c>
      <c r="I17" s="79">
        <v>0.34</v>
      </c>
      <c r="K17" s="84" t="s">
        <v>127</v>
      </c>
      <c r="L17" s="89">
        <v>0.25</v>
      </c>
    </row>
  </sheetData>
  <mergeCells count="4">
    <mergeCell ref="A9:C9"/>
    <mergeCell ref="E9:F9"/>
    <mergeCell ref="H9:I9"/>
    <mergeCell ref="K9:L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QuickTrip</vt:lpstr>
      <vt:lpstr>Investimento</vt:lpstr>
      <vt:lpstr>Despesas</vt:lpstr>
      <vt:lpstr>Receitas</vt:lpstr>
      <vt:lpstr>Real</vt:lpstr>
      <vt:lpstr>Pessimista</vt:lpstr>
      <vt:lpstr>Otimista</vt:lpstr>
      <vt:lpstr>CONCLUSÃO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 Farao</dc:creator>
  <cp:lastModifiedBy>Sah Farao</cp:lastModifiedBy>
  <dcterms:created xsi:type="dcterms:W3CDTF">2023-06-04T20:11:22Z</dcterms:created>
  <dcterms:modified xsi:type="dcterms:W3CDTF">2023-06-21T19:41:16Z</dcterms:modified>
</cp:coreProperties>
</file>