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8c4e59c8104449/Documentos/Estudos/UFSC/4º Semestre/Análise da Viabilidade Econômica de Novos Empreendimentos/"/>
    </mc:Choice>
  </mc:AlternateContent>
  <xr:revisionPtr revIDLastSave="0" documentId="8_{A6591433-67B3-4AE8-9BC7-72A5F763AA76}" xr6:coauthVersionLast="47" xr6:coauthVersionMax="47" xr10:uidLastSave="{00000000-0000-0000-0000-000000000000}"/>
  <bookViews>
    <workbookView xWindow="-120" yWindow="-120" windowWidth="20730" windowHeight="11160" firstSheet="1" activeTab="7" xr2:uid="{02A00278-5C0B-4BB9-AF1F-8642CC4E8A02}"/>
  </bookViews>
  <sheets>
    <sheet name="Apresentação" sheetId="1" r:id="rId1"/>
    <sheet name="Investimento" sheetId="2" r:id="rId2"/>
    <sheet name="Despesas" sheetId="3" r:id="rId3"/>
    <sheet name="Receitas" sheetId="4" r:id="rId4"/>
    <sheet name="Cenário Real" sheetId="5" r:id="rId5"/>
    <sheet name="Cenário Pessimista" sheetId="7" r:id="rId6"/>
    <sheet name="Cenário Otimista" sheetId="6" r:id="rId7"/>
    <sheet name="Conclusão" sheetId="8" r:id="rId8"/>
  </sheets>
  <externalReferences>
    <externalReference r:id="rId9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H9" i="4" l="1"/>
  <c r="F3" i="6" s="1"/>
  <c r="J29" i="3"/>
  <c r="J30" i="3"/>
  <c r="Z6" i="3"/>
  <c r="Z5" i="3"/>
  <c r="C8" i="6"/>
  <c r="F11" i="6" s="1"/>
  <c r="C8" i="7"/>
  <c r="C8" i="5"/>
  <c r="S25" i="4"/>
  <c r="W25" i="4" s="1"/>
  <c r="AA25" i="4" s="1"/>
  <c r="S26" i="4"/>
  <c r="W26" i="4" s="1"/>
  <c r="AA26" i="4" s="1"/>
  <c r="S27" i="4"/>
  <c r="W27" i="4" s="1"/>
  <c r="AA27" i="4" s="1"/>
  <c r="S24" i="4"/>
  <c r="W24" i="4" s="1"/>
  <c r="AA24" i="4" s="1"/>
  <c r="S18" i="4"/>
  <c r="W18" i="4" s="1"/>
  <c r="AA18" i="4" s="1"/>
  <c r="S19" i="4"/>
  <c r="W19" i="4" s="1"/>
  <c r="AA19" i="4" s="1"/>
  <c r="S20" i="4"/>
  <c r="W20" i="4" s="1"/>
  <c r="AA20" i="4" s="1"/>
  <c r="S17" i="4"/>
  <c r="W17" i="4" s="1"/>
  <c r="AA17" i="4" s="1"/>
  <c r="S11" i="4"/>
  <c r="W11" i="4" s="1"/>
  <c r="AA11" i="4" s="1"/>
  <c r="S12" i="4"/>
  <c r="W12" i="4" s="1"/>
  <c r="S13" i="4"/>
  <c r="S10" i="4"/>
  <c r="W10" i="4" s="1"/>
  <c r="AA34" i="4"/>
  <c r="W34" i="4"/>
  <c r="S34" i="4"/>
  <c r="O34" i="4"/>
  <c r="O7" i="4"/>
  <c r="O28" i="4" s="1"/>
  <c r="P33" i="4" s="1"/>
  <c r="O6" i="4"/>
  <c r="O21" i="4" s="1"/>
  <c r="P32" i="4" s="1"/>
  <c r="O5" i="4"/>
  <c r="O14" i="4" s="1"/>
  <c r="P31" i="4" s="1"/>
  <c r="O60" i="6"/>
  <c r="C7" i="6"/>
  <c r="O60" i="5"/>
  <c r="C7" i="5"/>
  <c r="C7" i="7"/>
  <c r="O60" i="7"/>
  <c r="Z24" i="3"/>
  <c r="V24" i="3"/>
  <c r="R24" i="3"/>
  <c r="V5" i="3"/>
  <c r="V6" i="3" s="1"/>
  <c r="R5" i="3"/>
  <c r="R6" i="3" s="1"/>
  <c r="N5" i="3"/>
  <c r="N6" i="3" s="1"/>
  <c r="J5" i="3"/>
  <c r="J6" i="3" s="1"/>
  <c r="J15" i="3"/>
  <c r="AE3" i="4"/>
  <c r="H8" i="4" s="1"/>
  <c r="Y24" i="3"/>
  <c r="Z15" i="3"/>
  <c r="Z28" i="3"/>
  <c r="U24" i="3"/>
  <c r="V15" i="3"/>
  <c r="N15" i="3"/>
  <c r="N22" i="3"/>
  <c r="Q24" i="3"/>
  <c r="R15" i="3"/>
  <c r="J22" i="3"/>
  <c r="R5" i="2"/>
  <c r="I15" i="2" s="1"/>
  <c r="N4" i="2"/>
  <c r="J9" i="2"/>
  <c r="I13" i="2" s="1"/>
  <c r="N5" i="2"/>
  <c r="AC3" i="3"/>
  <c r="F3" i="7" l="1"/>
  <c r="F3" i="5"/>
  <c r="P34" i="4"/>
  <c r="O37" i="4" s="1"/>
  <c r="O38" i="4"/>
  <c r="O39" i="4" s="1"/>
  <c r="S6" i="4"/>
  <c r="S21" i="4" s="1"/>
  <c r="T32" i="4" s="1"/>
  <c r="AA10" i="4"/>
  <c r="W6" i="4"/>
  <c r="W21" i="4" s="1"/>
  <c r="W13" i="4"/>
  <c r="W5" i="4" s="1"/>
  <c r="AA12" i="4"/>
  <c r="Z33" i="3"/>
  <c r="Z34" i="3"/>
  <c r="Z35" i="3"/>
  <c r="Z36" i="3"/>
  <c r="Z37" i="3"/>
  <c r="Z38" i="3"/>
  <c r="Z39" i="3"/>
  <c r="Z40" i="3"/>
  <c r="Z41" i="3"/>
  <c r="Z42" i="3"/>
  <c r="Z32" i="3"/>
  <c r="Z31" i="3"/>
  <c r="Z45" i="3" s="1"/>
  <c r="R28" i="3"/>
  <c r="W7" i="4"/>
  <c r="AA7" i="4"/>
  <c r="AA6" i="4"/>
  <c r="AA21" i="4" s="1"/>
  <c r="S7" i="4"/>
  <c r="S28" i="4" s="1"/>
  <c r="T33" i="4" s="1"/>
  <c r="S5" i="4"/>
  <c r="Z46" i="3"/>
  <c r="N26" i="3"/>
  <c r="J26" i="3"/>
  <c r="I14" i="2"/>
  <c r="I16" i="2" s="1"/>
  <c r="AA13" i="4" l="1"/>
  <c r="AA5" i="4" s="1"/>
  <c r="G7" i="6"/>
  <c r="G7" i="7"/>
  <c r="G7" i="5"/>
  <c r="AA28" i="4"/>
  <c r="AB33" i="4" s="1"/>
  <c r="X32" i="4"/>
  <c r="W28" i="4"/>
  <c r="X33" i="4" s="1"/>
  <c r="W14" i="4"/>
  <c r="X31" i="4" s="1"/>
  <c r="AB32" i="4"/>
  <c r="F11" i="7"/>
  <c r="F11" i="5"/>
  <c r="R33" i="3"/>
  <c r="R34" i="3"/>
  <c r="R35" i="3"/>
  <c r="R36" i="3"/>
  <c r="R37" i="3"/>
  <c r="R38" i="3"/>
  <c r="R39" i="3"/>
  <c r="R40" i="3"/>
  <c r="R41" i="3"/>
  <c r="R42" i="3"/>
  <c r="R31" i="3"/>
  <c r="R32" i="3"/>
  <c r="N29" i="3"/>
  <c r="N31" i="3"/>
  <c r="N32" i="3"/>
  <c r="N33" i="3"/>
  <c r="N34" i="3"/>
  <c r="N35" i="3"/>
  <c r="N36" i="3"/>
  <c r="N37" i="3"/>
  <c r="N38" i="3"/>
  <c r="N39" i="3"/>
  <c r="N40" i="3"/>
  <c r="N30" i="3"/>
  <c r="J33" i="3"/>
  <c r="J35" i="3"/>
  <c r="J36" i="3"/>
  <c r="J37" i="3"/>
  <c r="J38" i="3"/>
  <c r="J39" i="3"/>
  <c r="J40" i="3"/>
  <c r="J34" i="3"/>
  <c r="J31" i="3"/>
  <c r="J32" i="3"/>
  <c r="N43" i="3"/>
  <c r="N44" i="3" s="1"/>
  <c r="J43" i="3"/>
  <c r="J44" i="3" s="1"/>
  <c r="R45" i="3"/>
  <c r="R46" i="3" s="1"/>
  <c r="X34" i="4" l="1"/>
  <c r="W37" i="4" s="1"/>
  <c r="AA14" i="4"/>
  <c r="AB31" i="4" s="1"/>
  <c r="AB34" i="4" s="1"/>
  <c r="AA37" i="4" s="1"/>
  <c r="G5" i="7"/>
  <c r="G5" i="6"/>
  <c r="G5" i="5"/>
  <c r="G3" i="6"/>
  <c r="G3" i="7"/>
  <c r="G3" i="5"/>
  <c r="G4" i="6"/>
  <c r="G4" i="7"/>
  <c r="G4" i="5"/>
  <c r="F4" i="7"/>
  <c r="F4" i="6"/>
  <c r="H4" i="6" s="1"/>
  <c r="F13" i="6" s="1"/>
  <c r="G13" i="6" s="1"/>
  <c r="F4" i="5"/>
  <c r="H4" i="5" s="1"/>
  <c r="F13" i="5" s="1"/>
  <c r="G13" i="5" s="1"/>
  <c r="V28" i="3"/>
  <c r="V32" i="3" s="1"/>
  <c r="V33" i="3"/>
  <c r="H4" i="7" l="1"/>
  <c r="F13" i="7" s="1"/>
  <c r="G13" i="7" s="1"/>
  <c r="AA38" i="4"/>
  <c r="AA39" i="4" s="1"/>
  <c r="W38" i="4"/>
  <c r="W39" i="4" s="1"/>
  <c r="V31" i="3"/>
  <c r="V42" i="3"/>
  <c r="V41" i="3"/>
  <c r="V40" i="3"/>
  <c r="V39" i="3"/>
  <c r="V38" i="3"/>
  <c r="V37" i="3"/>
  <c r="V36" i="3"/>
  <c r="V35" i="3"/>
  <c r="V34" i="3"/>
  <c r="F6" i="6" l="1"/>
  <c r="F6" i="5"/>
  <c r="F6" i="7"/>
  <c r="F7" i="5"/>
  <c r="H7" i="5" s="1"/>
  <c r="F16" i="5" s="1"/>
  <c r="F7" i="7"/>
  <c r="H7" i="7" s="1"/>
  <c r="F16" i="7" s="1"/>
  <c r="G16" i="7" s="1"/>
  <c r="F7" i="6"/>
  <c r="H7" i="6" s="1"/>
  <c r="F16" i="6" s="1"/>
  <c r="G16" i="6" s="1"/>
  <c r="G16" i="5"/>
  <c r="V45" i="3"/>
  <c r="V46" i="3" s="1"/>
  <c r="S14" i="4"/>
  <c r="T31" i="4" s="1"/>
  <c r="T34" i="4" s="1"/>
  <c r="S37" i="4" s="1"/>
  <c r="S38" i="4" l="1"/>
  <c r="S39" i="4" s="1"/>
  <c r="G6" i="6"/>
  <c r="H6" i="6" s="1"/>
  <c r="G6" i="7"/>
  <c r="H6" i="7" s="1"/>
  <c r="F15" i="7" s="1"/>
  <c r="G15" i="7" s="1"/>
  <c r="G6" i="5"/>
  <c r="H6" i="5" s="1"/>
  <c r="F15" i="5" s="1"/>
  <c r="G15" i="5" s="1"/>
  <c r="H3" i="6"/>
  <c r="F12" i="6" s="1"/>
  <c r="H3" i="7"/>
  <c r="F12" i="7" s="1"/>
  <c r="F5" i="5" l="1"/>
  <c r="F5" i="6"/>
  <c r="H5" i="6" s="1"/>
  <c r="F14" i="6" s="1"/>
  <c r="G14" i="6" s="1"/>
  <c r="F5" i="7"/>
  <c r="H5" i="7" s="1"/>
  <c r="F14" i="7" s="1"/>
  <c r="G14" i="7" s="1"/>
  <c r="H3" i="5"/>
  <c r="F12" i="5" s="1"/>
  <c r="F15" i="6"/>
  <c r="G15" i="6" s="1"/>
  <c r="G12" i="7"/>
  <c r="H12" i="7" s="1"/>
  <c r="H13" i="7" s="1"/>
  <c r="F28" i="7"/>
  <c r="F11" i="8" s="1"/>
  <c r="G12" i="6"/>
  <c r="H12" i="6" s="1"/>
  <c r="H13" i="6" s="1"/>
  <c r="H5" i="5"/>
  <c r="F14" i="5" s="1"/>
  <c r="F23" i="7" l="1"/>
  <c r="F24" i="7" s="1"/>
  <c r="F7" i="8" s="1"/>
  <c r="F22" i="7"/>
  <c r="F5" i="8" s="1"/>
  <c r="H14" i="7"/>
  <c r="H15" i="7" s="1"/>
  <c r="H16" i="7" s="1"/>
  <c r="K16" i="7" s="1"/>
  <c r="F23" i="6"/>
  <c r="F24" i="6" s="1"/>
  <c r="I7" i="8" s="1"/>
  <c r="H14" i="6"/>
  <c r="H15" i="6" s="1"/>
  <c r="F28" i="6"/>
  <c r="I11" i="8" s="1"/>
  <c r="F22" i="6"/>
  <c r="F25" i="6" s="1"/>
  <c r="G12" i="5"/>
  <c r="H12" i="5" s="1"/>
  <c r="H13" i="5" s="1"/>
  <c r="F22" i="5"/>
  <c r="F23" i="5" s="1"/>
  <c r="F21" i="5"/>
  <c r="F24" i="5" s="1"/>
  <c r="F27" i="5"/>
  <c r="C11" i="8" s="1"/>
  <c r="G14" i="5"/>
  <c r="F25" i="7" l="1"/>
  <c r="F8" i="8" s="1"/>
  <c r="K15" i="7"/>
  <c r="K17" i="7" s="1"/>
  <c r="F6" i="8"/>
  <c r="I6" i="8"/>
  <c r="K15" i="6"/>
  <c r="I5" i="8"/>
  <c r="F26" i="6"/>
  <c r="I9" i="8" s="1"/>
  <c r="I8" i="8"/>
  <c r="H14" i="5"/>
  <c r="H15" i="5" s="1"/>
  <c r="K15" i="5" s="1"/>
  <c r="K16" i="6"/>
  <c r="H16" i="6"/>
  <c r="F25" i="5"/>
  <c r="C5" i="8"/>
  <c r="C6" i="8"/>
  <c r="C7" i="8"/>
  <c r="F26" i="7" l="1"/>
  <c r="F9" i="8" s="1"/>
  <c r="F27" i="7"/>
  <c r="F10" i="8" s="1"/>
  <c r="K17" i="6"/>
  <c r="F27" i="6" s="1"/>
  <c r="I10" i="8" s="1"/>
  <c r="H16" i="5"/>
  <c r="K16" i="5" s="1"/>
  <c r="C8" i="8"/>
  <c r="C9" i="8"/>
  <c r="K17" i="5" l="1"/>
  <c r="F26" i="5" l="1"/>
  <c r="C10" i="8" s="1"/>
</calcChain>
</file>

<file path=xl/sharedStrings.xml><?xml version="1.0" encoding="utf-8"?>
<sst xmlns="http://schemas.openxmlformats.org/spreadsheetml/2006/main" count="489" uniqueCount="97">
  <si>
    <t>Planilha do Caso Prático</t>
  </si>
  <si>
    <t>AgilizApp</t>
  </si>
  <si>
    <t>Luana Gabriel da Silva, Lucas Cardoso Benedet, Pâmela Andressa Lunelli</t>
  </si>
  <si>
    <t>Despesas pré-operacionais</t>
  </si>
  <si>
    <t>Investimento Fixo</t>
  </si>
  <si>
    <t>Capital de Giro</t>
  </si>
  <si>
    <t>Tipo</t>
  </si>
  <si>
    <t>Quantidade</t>
  </si>
  <si>
    <t>Valor</t>
  </si>
  <si>
    <t>Registro INPI</t>
  </si>
  <si>
    <t>Computadores</t>
  </si>
  <si>
    <t>Valor de Reserva</t>
  </si>
  <si>
    <t>Abertura CNPJ</t>
  </si>
  <si>
    <t>TOTAL</t>
  </si>
  <si>
    <t>Contabilidade</t>
  </si>
  <si>
    <t>Alvará - Prefeitura</t>
  </si>
  <si>
    <t>Registro BR</t>
  </si>
  <si>
    <t>Total:</t>
  </si>
  <si>
    <t>Ano 1</t>
  </si>
  <si>
    <t>Ano 2</t>
  </si>
  <si>
    <t>Ano 3</t>
  </si>
  <si>
    <t>Ano 4</t>
  </si>
  <si>
    <t>Ano 5</t>
  </si>
  <si>
    <t>TMA</t>
  </si>
  <si>
    <t>aa</t>
  </si>
  <si>
    <t>Custos Fixo e Despesas</t>
  </si>
  <si>
    <t>Taxa Mensal</t>
  </si>
  <si>
    <t>am</t>
  </si>
  <si>
    <t>Auxilio Home Office</t>
  </si>
  <si>
    <t>Custos Variáveis</t>
  </si>
  <si>
    <t>Jurídico</t>
  </si>
  <si>
    <t>Hostgator</t>
  </si>
  <si>
    <t>Marketing</t>
  </si>
  <si>
    <t>Funcionários</t>
  </si>
  <si>
    <t>Cargo</t>
  </si>
  <si>
    <t>Benefícios</t>
  </si>
  <si>
    <t>Sócio 1</t>
  </si>
  <si>
    <t>Sócio 2</t>
  </si>
  <si>
    <t>Sócio 3</t>
  </si>
  <si>
    <t>Designer</t>
  </si>
  <si>
    <t>Desenvolvedor</t>
  </si>
  <si>
    <t>Total</t>
  </si>
  <si>
    <t>Base mensal</t>
  </si>
  <si>
    <t>Variação Mensal Real</t>
  </si>
  <si>
    <t>VPL</t>
  </si>
  <si>
    <t>Anual</t>
  </si>
  <si>
    <t>ANO 1</t>
  </si>
  <si>
    <t>ANO 2</t>
  </si>
  <si>
    <t>ANO 3</t>
  </si>
  <si>
    <t>ANO 4</t>
  </si>
  <si>
    <t>ANO 5</t>
  </si>
  <si>
    <t>Tipos de Receitas</t>
  </si>
  <si>
    <t>Receita</t>
  </si>
  <si>
    <t>Taxa de Serviço:</t>
  </si>
  <si>
    <t>Plano Starter</t>
  </si>
  <si>
    <t>Plano Standard</t>
  </si>
  <si>
    <t>Plano Plus</t>
  </si>
  <si>
    <t>5 usuários / 11000 mensagens</t>
  </si>
  <si>
    <t>Instagram</t>
  </si>
  <si>
    <t>Facebook</t>
  </si>
  <si>
    <t>Whatsapp</t>
  </si>
  <si>
    <t>E-mail</t>
  </si>
  <si>
    <t>10 usuários / 23000 mensagens</t>
  </si>
  <si>
    <t>25 usuários / 34000 mensagens</t>
  </si>
  <si>
    <t>Clientes</t>
  </si>
  <si>
    <t>Valor Mensal</t>
  </si>
  <si>
    <t>VP</t>
  </si>
  <si>
    <t>Cenário real (sem alterações)</t>
  </si>
  <si>
    <t>Receitas</t>
  </si>
  <si>
    <t>Despesas</t>
  </si>
  <si>
    <t>Liquido</t>
  </si>
  <si>
    <t>-</t>
  </si>
  <si>
    <t>TMA (aa)</t>
  </si>
  <si>
    <t>Taxa Mensal (am)</t>
  </si>
  <si>
    <t>Investimento</t>
  </si>
  <si>
    <t>Payback</t>
  </si>
  <si>
    <t>Ano</t>
  </si>
  <si>
    <t>Valores</t>
  </si>
  <si>
    <t>VP Recuperado</t>
  </si>
  <si>
    <t>VP Acumulado</t>
  </si>
  <si>
    <t>Investimento - Ano anterior:</t>
  </si>
  <si>
    <t>Ano Posterior - Ano anterior:</t>
  </si>
  <si>
    <t>Razão</t>
  </si>
  <si>
    <t>Índices relevantes</t>
  </si>
  <si>
    <t>Análise do cenário</t>
  </si>
  <si>
    <t>VP Ben.</t>
  </si>
  <si>
    <t>VPLA</t>
  </si>
  <si>
    <t>IBC</t>
  </si>
  <si>
    <t>ROIA (aa)</t>
  </si>
  <si>
    <t>PAYBACK (anos)</t>
  </si>
  <si>
    <t>TIR (aa)</t>
  </si>
  <si>
    <t>Cenário pessimista</t>
  </si>
  <si>
    <t>Cálculo Payback</t>
  </si>
  <si>
    <t>Conclusão</t>
  </si>
  <si>
    <t>Cenário Real</t>
  </si>
  <si>
    <t>Cenário Pessimista</t>
  </si>
  <si>
    <t>Cenário Otimista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</si>
</sst>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0.0000"/>
    <numFmt numFmtId="166" formatCode="0.000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4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4">
    <xf numFmtId="0" fontId="0" fillId="0" borderId="0" xfId="0"/>
    <xf numFmtId="164" fontId="0" fillId="0" borderId="1" xfId="0" applyNumberFormat="1" applyBorder="1"/>
    <xf numFmtId="8" fontId="0" fillId="0" borderId="0" xfId="0" applyNumberFormat="1"/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3" borderId="1" xfId="0" applyFill="1" applyBorder="1"/>
    <xf numFmtId="0" fontId="2" fillId="3" borderId="1" xfId="0" applyFont="1" applyFill="1" applyBorder="1"/>
    <xf numFmtId="0" fontId="5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2" borderId="1" xfId="0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164" fontId="2" fillId="0" borderId="0" xfId="0" applyNumberFormat="1" applyFont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8" fontId="2" fillId="4" borderId="1" xfId="0" applyNumberFormat="1" applyFont="1" applyFill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164" fontId="2" fillId="4" borderId="17" xfId="0" applyNumberFormat="1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2" fontId="0" fillId="0" borderId="1" xfId="0" applyNumberFormat="1" applyBorder="1"/>
    <xf numFmtId="10" fontId="0" fillId="0" borderId="1" xfId="0" applyNumberFormat="1" applyBorder="1"/>
    <xf numFmtId="165" fontId="0" fillId="0" borderId="1" xfId="0" applyNumberFormat="1" applyBorder="1"/>
    <xf numFmtId="10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3" borderId="4" xfId="0" applyFill="1" applyBorder="1" applyAlignment="1">
      <alignment vertical="center" wrapText="1"/>
    </xf>
    <xf numFmtId="10" fontId="0" fillId="0" borderId="1" xfId="0" applyNumberFormat="1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10" fillId="0" borderId="0" xfId="0" applyFont="1" applyAlignment="1">
      <alignment vertical="center" wrapText="1"/>
    </xf>
    <xf numFmtId="164" fontId="2" fillId="0" borderId="18" xfId="0" applyNumberFormat="1" applyFont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/>
    </xf>
    <xf numFmtId="44" fontId="2" fillId="4" borderId="18" xfId="1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164" fontId="0" fillId="9" borderId="1" xfId="0" applyNumberFormat="1" applyFill="1" applyBorder="1"/>
    <xf numFmtId="0" fontId="2" fillId="0" borderId="0" xfId="0" applyFont="1" applyAlignment="1">
      <alignment vertical="center"/>
    </xf>
    <xf numFmtId="44" fontId="2" fillId="0" borderId="0" xfId="1" applyFont="1" applyFill="1" applyBorder="1" applyAlignment="1">
      <alignment vertical="center" wrapText="1"/>
    </xf>
    <xf numFmtId="0" fontId="2" fillId="3" borderId="18" xfId="0" applyFont="1" applyFill="1" applyBorder="1"/>
    <xf numFmtId="164" fontId="0" fillId="0" borderId="18" xfId="0" applyNumberFormat="1" applyBorder="1"/>
    <xf numFmtId="164" fontId="11" fillId="10" borderId="18" xfId="0" applyNumberFormat="1" applyFont="1" applyFill="1" applyBorder="1"/>
    <xf numFmtId="166" fontId="0" fillId="0" borderId="18" xfId="0" applyNumberFormat="1" applyBorder="1"/>
    <xf numFmtId="0" fontId="0" fillId="3" borderId="18" xfId="0" applyFill="1" applyBorder="1"/>
    <xf numFmtId="8" fontId="0" fillId="0" borderId="18" xfId="0" applyNumberFormat="1" applyBorder="1"/>
    <xf numFmtId="10" fontId="0" fillId="0" borderId="0" xfId="0" applyNumberFormat="1"/>
    <xf numFmtId="164" fontId="0" fillId="10" borderId="18" xfId="0" applyNumberFormat="1" applyFill="1" applyBorder="1"/>
    <xf numFmtId="10" fontId="0" fillId="0" borderId="1" xfId="2" applyNumberFormat="1" applyFont="1" applyBorder="1"/>
    <xf numFmtId="0" fontId="12" fillId="0" borderId="0" xfId="0" applyFont="1" applyAlignment="1">
      <alignment vertical="center" wrapText="1"/>
    </xf>
    <xf numFmtId="164" fontId="13" fillId="9" borderId="1" xfId="0" applyNumberFormat="1" applyFont="1" applyFill="1" applyBorder="1"/>
    <xf numFmtId="164" fontId="13" fillId="0" borderId="18" xfId="0" applyNumberFormat="1" applyFont="1" applyBorder="1"/>
    <xf numFmtId="164" fontId="13" fillId="10" borderId="18" xfId="0" applyNumberFormat="1" applyFont="1" applyFill="1" applyBorder="1"/>
    <xf numFmtId="164" fontId="2" fillId="4" borderId="18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8" fontId="2" fillId="0" borderId="1" xfId="0" applyNumberFormat="1" applyFont="1" applyBorder="1" applyAlignment="1">
      <alignment vertical="center" wrapText="1"/>
    </xf>
    <xf numFmtId="0" fontId="12" fillId="0" borderId="0" xfId="0" applyFont="1"/>
    <xf numFmtId="0" fontId="4" fillId="6" borderId="12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8" fontId="2" fillId="0" borderId="21" xfId="0" applyNumberFormat="1" applyFont="1" applyBorder="1" applyAlignment="1">
      <alignment horizontal="center" vertical="center" wrapText="1"/>
    </xf>
    <xf numFmtId="8" fontId="2" fillId="0" borderId="22" xfId="0" applyNumberFormat="1" applyFont="1" applyBorder="1" applyAlignment="1">
      <alignment horizontal="center" vertical="center" wrapText="1"/>
    </xf>
    <xf numFmtId="8" fontId="2" fillId="4" borderId="18" xfId="0" applyNumberFormat="1" applyFont="1" applyFill="1" applyBorder="1" applyAlignment="1">
      <alignment horizontal="center" vertical="center" wrapText="1"/>
    </xf>
    <xf numFmtId="8" fontId="2" fillId="4" borderId="21" xfId="0" applyNumberFormat="1" applyFont="1" applyFill="1" applyBorder="1" applyAlignment="1">
      <alignment horizontal="center" vertical="center" wrapText="1"/>
    </xf>
    <xf numFmtId="8" fontId="2" fillId="4" borderId="22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100852</xdr:colOff>
      <xdr:row>1</xdr:row>
      <xdr:rowOff>38100</xdr:rowOff>
    </xdr:from>
    <xdr:to>
      <xdr:col>4</xdr:col>
      <xdr:colOff>514349</xdr:colOff>
      <xdr:row>4</xdr:row>
      <xdr:rowOff>145676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570555D-C13A-3AE8-7971-F50B3A069926}"/>
            </a:ext>
          </a:extLst>
        </xdr:cNvPr>
        <xdr:cNvSpPr txBox="1"/>
      </xdr:nvSpPr>
      <xdr:spPr>
        <a:xfrm>
          <a:off x="1311087" y="228600"/>
          <a:ext cx="1623733" cy="679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Investimentos necessários para abertura da empresa</a:t>
          </a:r>
        </a:p>
      </xdr:txBody>
    </xdr:sp>
    <xdr:clientData/>
  </xdr:twoCellAnchor>
  <xdr:twoCellAnchor>
    <xdr:from>
      <xdr:col>5</xdr:col>
      <xdr:colOff>11206</xdr:colOff>
      <xdr:row>2</xdr:row>
      <xdr:rowOff>9525</xdr:rowOff>
    </xdr:from>
    <xdr:to>
      <xdr:col>6</xdr:col>
      <xdr:colOff>285750</xdr:colOff>
      <xdr:row>2</xdr:row>
      <xdr:rowOff>134471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E80BAE94-853C-E937-C865-EE3E619A9E46}"/>
            </a:ext>
            <a:ext uri="{147F2762-F138-4A5C-976F-8EAC2B608ADB}">
              <a16:predDERef xmlns:a16="http://schemas.microsoft.com/office/drawing/2014/main" pred="{C570555D-C13A-3AE8-7971-F50B3A069926}"/>
            </a:ext>
          </a:extLst>
        </xdr:cNvPr>
        <xdr:cNvCxnSpPr>
          <a:cxnSpLocks/>
        </xdr:cNvCxnSpPr>
      </xdr:nvCxnSpPr>
      <xdr:spPr>
        <a:xfrm flipV="1">
          <a:off x="3036794" y="390525"/>
          <a:ext cx="879662" cy="124946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8</xdr:row>
      <xdr:rowOff>57151</xdr:rowOff>
    </xdr:from>
    <xdr:to>
      <xdr:col>12</xdr:col>
      <xdr:colOff>22412</xdr:colOff>
      <xdr:row>9</xdr:row>
      <xdr:rowOff>179295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83B7386-13B7-4F51-BD3B-F708DB86C23A}"/>
            </a:ext>
            <a:ext uri="{147F2762-F138-4A5C-976F-8EAC2B608ADB}">
              <a16:predDERef xmlns:a16="http://schemas.microsoft.com/office/drawing/2014/main" pred="{E80BAE94-853C-E937-C865-EE3E619A9E46}"/>
            </a:ext>
          </a:extLst>
        </xdr:cNvPr>
        <xdr:cNvSpPr txBox="1"/>
      </xdr:nvSpPr>
      <xdr:spPr>
        <a:xfrm>
          <a:off x="7897906" y="1581151"/>
          <a:ext cx="1761565" cy="3126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Equipamentos de trabalho</a:t>
          </a:r>
        </a:p>
      </xdr:txBody>
    </xdr:sp>
    <xdr:clientData/>
  </xdr:twoCellAnchor>
  <xdr:twoCellAnchor>
    <xdr:from>
      <xdr:col>11</xdr:col>
      <xdr:colOff>695325</xdr:colOff>
      <xdr:row>5</xdr:row>
      <xdr:rowOff>19050</xdr:rowOff>
    </xdr:from>
    <xdr:to>
      <xdr:col>11</xdr:col>
      <xdr:colOff>1019175</xdr:colOff>
      <xdr:row>8</xdr:row>
      <xdr:rowOff>38100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8DF7A1FF-9716-4D15-8D97-A6E31419E4A9}"/>
            </a:ext>
            <a:ext uri="{147F2762-F138-4A5C-976F-8EAC2B608ADB}">
              <a16:predDERef xmlns:a16="http://schemas.microsoft.com/office/drawing/2014/main" pred="{283B7386-13B7-4F51-BD3B-F708DB86C23A}"/>
            </a:ext>
          </a:extLst>
        </xdr:cNvPr>
        <xdr:cNvCxnSpPr>
          <a:cxnSpLocks/>
        </xdr:cNvCxnSpPr>
      </xdr:nvCxnSpPr>
      <xdr:spPr>
        <a:xfrm flipV="1">
          <a:off x="8639175" y="971550"/>
          <a:ext cx="323850" cy="590550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415178</xdr:colOff>
      <xdr:row>8</xdr:row>
      <xdr:rowOff>96370</xdr:rowOff>
    </xdr:from>
    <xdr:to>
      <xdr:col>15</xdr:col>
      <xdr:colOff>1580030</xdr:colOff>
      <xdr:row>10</xdr:row>
      <xdr:rowOff>86845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6B4E844-FF48-4F5B-A537-56B1F41CDF0E}"/>
            </a:ext>
            <a:ext uri="{147F2762-F138-4A5C-976F-8EAC2B608ADB}">
              <a16:predDERef xmlns:a16="http://schemas.microsoft.com/office/drawing/2014/main" pred="{8DF7A1FF-9716-4D15-8D97-A6E31419E4A9}"/>
            </a:ext>
          </a:extLst>
        </xdr:cNvPr>
        <xdr:cNvSpPr txBox="1"/>
      </xdr:nvSpPr>
      <xdr:spPr>
        <a:xfrm>
          <a:off x="11845178" y="1620370"/>
          <a:ext cx="1635499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Reserva de emergência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15</xdr:col>
      <xdr:colOff>605118</xdr:colOff>
      <xdr:row>5</xdr:row>
      <xdr:rowOff>67235</xdr:rowOff>
    </xdr:from>
    <xdr:to>
      <xdr:col>15</xdr:col>
      <xdr:colOff>952501</xdr:colOff>
      <xdr:row>8</xdr:row>
      <xdr:rowOff>78441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F54B6C34-2345-40A0-A0CF-238835B1BE5E}"/>
            </a:ext>
            <a:ext uri="{147F2762-F138-4A5C-976F-8EAC2B608ADB}">
              <a16:predDERef xmlns:a16="http://schemas.microsoft.com/office/drawing/2014/main" pred="{36B4E844-FF48-4F5B-A537-56B1F41CDF0E}"/>
            </a:ext>
          </a:extLst>
        </xdr:cNvPr>
        <xdr:cNvCxnSpPr>
          <a:cxnSpLocks/>
        </xdr:cNvCxnSpPr>
      </xdr:nvCxnSpPr>
      <xdr:spPr>
        <a:xfrm flipV="1">
          <a:off x="12505765" y="1019735"/>
          <a:ext cx="347383" cy="582706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714375</xdr:colOff>
      <xdr:row>20</xdr:row>
      <xdr:rowOff>28576</xdr:rowOff>
    </xdr:from>
    <xdr:to>
      <xdr:col>9</xdr:col>
      <xdr:colOff>907676</xdr:colOff>
      <xdr:row>22</xdr:row>
      <xdr:rowOff>67236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F3D67C2-BB6A-488F-BEA2-3FD7C4BD5435}"/>
            </a:ext>
            <a:ext uri="{147F2762-F138-4A5C-976F-8EAC2B608ADB}">
              <a16:predDERef xmlns:a16="http://schemas.microsoft.com/office/drawing/2014/main" pred="{F54B6C34-2345-40A0-A0CF-238835B1BE5E}"/>
            </a:ext>
          </a:extLst>
        </xdr:cNvPr>
        <xdr:cNvSpPr txBox="1"/>
      </xdr:nvSpPr>
      <xdr:spPr>
        <a:xfrm>
          <a:off x="4636434" y="3838576"/>
          <a:ext cx="2781860" cy="419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Valor total a ser dispendido para início do projeto</a:t>
          </a:r>
        </a:p>
      </xdr:txBody>
    </xdr:sp>
    <xdr:clientData/>
  </xdr:twoCellAnchor>
  <xdr:twoCellAnchor>
    <xdr:from>
      <xdr:col>7</xdr:col>
      <xdr:colOff>1590675</xdr:colOff>
      <xdr:row>16</xdr:row>
      <xdr:rowOff>9525</xdr:rowOff>
    </xdr:from>
    <xdr:to>
      <xdr:col>8</xdr:col>
      <xdr:colOff>285750</xdr:colOff>
      <xdr:row>20</xdr:row>
      <xdr:rowOff>38100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5D587810-EE10-4000-9961-0865E3F5ED3D}"/>
            </a:ext>
            <a:ext uri="{147F2762-F138-4A5C-976F-8EAC2B608ADB}">
              <a16:predDERef xmlns:a16="http://schemas.microsoft.com/office/drawing/2014/main" pred="{BF3D67C2-BB6A-488F-BEA2-3FD7C4BD5435}"/>
            </a:ext>
          </a:extLst>
        </xdr:cNvPr>
        <xdr:cNvCxnSpPr>
          <a:cxnSpLocks/>
        </xdr:cNvCxnSpPr>
      </xdr:nvCxnSpPr>
      <xdr:spPr>
        <a:xfrm flipV="1">
          <a:off x="5543550" y="3057525"/>
          <a:ext cx="419100" cy="790575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326572</xdr:colOff>
      <xdr:row>2</xdr:row>
      <xdr:rowOff>9525</xdr:rowOff>
    </xdr:from>
    <xdr:to>
      <xdr:col>4</xdr:col>
      <xdr:colOff>428625</xdr:colOff>
      <xdr:row>3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A3CFCE-8EA5-D775-4F73-E752F7AB8793}"/>
            </a:ext>
          </a:extLst>
        </xdr:cNvPr>
        <xdr:cNvSpPr txBox="1"/>
      </xdr:nvSpPr>
      <xdr:spPr>
        <a:xfrm>
          <a:off x="938893" y="390525"/>
          <a:ext cx="1939018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Custos e despesas fixas</a:t>
          </a:r>
          <a:r>
            <a:rPr lang="en-US" sz="11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anuais</a:t>
          </a:r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4</xdr:col>
      <xdr:colOff>409575</xdr:colOff>
      <xdr:row>2</xdr:row>
      <xdr:rowOff>171450</xdr:rowOff>
    </xdr:from>
    <xdr:to>
      <xdr:col>6</xdr:col>
      <xdr:colOff>266700</xdr:colOff>
      <xdr:row>2</xdr:row>
      <xdr:rowOff>180975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FB2ED75C-51DD-93EC-5218-9A6DFBE23649}"/>
            </a:ext>
            <a:ext uri="{147F2762-F138-4A5C-976F-8EAC2B608ADB}">
              <a16:predDERef xmlns:a16="http://schemas.microsoft.com/office/drawing/2014/main" pred="{26A3CFCE-8EA5-D775-4F73-E752F7AB8793}"/>
            </a:ext>
          </a:extLst>
        </xdr:cNvPr>
        <xdr:cNvCxnSpPr>
          <a:cxnSpLocks/>
        </xdr:cNvCxnSpPr>
      </xdr:nvCxnSpPr>
      <xdr:spPr>
        <a:xfrm flipV="1">
          <a:off x="2847975" y="552450"/>
          <a:ext cx="1076325" cy="9525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5</xdr:row>
      <xdr:rowOff>133350</xdr:rowOff>
    </xdr:from>
    <xdr:to>
      <xdr:col>4</xdr:col>
      <xdr:colOff>400050</xdr:colOff>
      <xdr:row>12</xdr:row>
      <xdr:rowOff>136071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C926C3-1DD9-4C06-A049-F8EE7C21FA5C}"/>
            </a:ext>
            <a:ext uri="{147F2762-F138-4A5C-976F-8EAC2B608ADB}">
              <a16:predDERef xmlns:a16="http://schemas.microsoft.com/office/drawing/2014/main" pred="{FB2ED75C-51DD-93EC-5218-9A6DFBE23649}"/>
            </a:ext>
          </a:extLst>
        </xdr:cNvPr>
        <xdr:cNvSpPr txBox="1"/>
      </xdr:nvSpPr>
      <xdr:spPr>
        <a:xfrm>
          <a:off x="95250" y="1085850"/>
          <a:ext cx="2754086" cy="13362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+mn-lt"/>
              <a:ea typeface="+mn-lt"/>
              <a:cs typeface="+mn-lt"/>
            </a:rPr>
            <a:t>Foram definidos custos fixos de contabilidade e suporte jurídico, registro da marca e hospedagem do site que são planos com valores fixos. Para o marketing, conforme o produto for evoluindo, será necessário maior visibilidade, logo o valor em marketing aumenta proporcionalmente.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0</xdr:col>
      <xdr:colOff>47625</xdr:colOff>
      <xdr:row>16</xdr:row>
      <xdr:rowOff>161925</xdr:rowOff>
    </xdr:from>
    <xdr:to>
      <xdr:col>4</xdr:col>
      <xdr:colOff>352425</xdr:colOff>
      <xdr:row>19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E8F1D2-0F9B-4ADE-89D5-FADE58538B86}"/>
            </a:ext>
            <a:ext uri="{147F2762-F138-4A5C-976F-8EAC2B608ADB}">
              <a16:predDERef xmlns:a16="http://schemas.microsoft.com/office/drawing/2014/main" pred="{16C926C3-1DD9-4C06-A049-F8EE7C21FA5C}"/>
            </a:ext>
          </a:extLst>
        </xdr:cNvPr>
        <xdr:cNvSpPr txBox="1"/>
      </xdr:nvSpPr>
      <xdr:spPr>
        <a:xfrm>
          <a:off x="47625" y="3209925"/>
          <a:ext cx="2743200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Nos primeiros anos, apenas os sócios serão os programadores e receberão uma valor fixo de R$ 5.000,00.</a:t>
          </a:r>
        </a:p>
      </xdr:txBody>
    </xdr:sp>
    <xdr:clientData/>
  </xdr:twoCellAnchor>
  <xdr:twoCellAnchor>
    <xdr:from>
      <xdr:col>1</xdr:col>
      <xdr:colOff>108857</xdr:colOff>
      <xdr:row>23</xdr:row>
      <xdr:rowOff>103414</xdr:rowOff>
    </xdr:from>
    <xdr:to>
      <xdr:col>4</xdr:col>
      <xdr:colOff>258536</xdr:colOff>
      <xdr:row>25</xdr:row>
      <xdr:rowOff>84364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17CE0E2-408B-4E83-8086-B4DAE9036ABA}"/>
            </a:ext>
            <a:ext uri="{147F2762-F138-4A5C-976F-8EAC2B608ADB}">
              <a16:predDERef xmlns:a16="http://schemas.microsoft.com/office/drawing/2014/main" pred="{44E8F1D2-0F9B-4ADE-89D5-FADE58538B86}"/>
            </a:ext>
          </a:extLst>
        </xdr:cNvPr>
        <xdr:cNvSpPr txBox="1"/>
      </xdr:nvSpPr>
      <xdr:spPr>
        <a:xfrm>
          <a:off x="721178" y="4484914"/>
          <a:ext cx="1986644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+mn-lt"/>
              <a:ea typeface="+mn-lt"/>
              <a:cs typeface="+mn-lt"/>
            </a:rPr>
            <a:t>V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alor base a ser gasto por mês</a:t>
          </a:r>
          <a:endParaRPr lang="en-US" sz="1100" b="0" i="0" u="none" strike="noStrike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4</xdr:col>
      <xdr:colOff>400050</xdr:colOff>
      <xdr:row>8</xdr:row>
      <xdr:rowOff>161925</xdr:rowOff>
    </xdr:from>
    <xdr:to>
      <xdr:col>6</xdr:col>
      <xdr:colOff>257175</xdr:colOff>
      <xdr:row>8</xdr:row>
      <xdr:rowOff>171450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D02B7D9F-5351-48CB-9371-E842E14CF510}"/>
            </a:ext>
            <a:ext uri="{147F2762-F138-4A5C-976F-8EAC2B608ADB}">
              <a16:predDERef xmlns:a16="http://schemas.microsoft.com/office/drawing/2014/main" pred="{517CE0E2-408B-4E83-8086-B4DAE9036ABA}"/>
            </a:ext>
          </a:extLst>
        </xdr:cNvPr>
        <xdr:cNvCxnSpPr>
          <a:cxnSpLocks/>
        </xdr:cNvCxnSpPr>
      </xdr:nvCxnSpPr>
      <xdr:spPr>
        <a:xfrm flipV="1">
          <a:off x="2838450" y="1685925"/>
          <a:ext cx="1076325" cy="9525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17</xdr:row>
      <xdr:rowOff>142875</xdr:rowOff>
    </xdr:from>
    <xdr:to>
      <xdr:col>6</xdr:col>
      <xdr:colOff>219075</xdr:colOff>
      <xdr:row>17</xdr:row>
      <xdr:rowOff>152400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45BE2519-C57E-4F47-AAF1-53B38557F43E}"/>
            </a:ext>
            <a:ext uri="{147F2762-F138-4A5C-976F-8EAC2B608ADB}">
              <a16:predDERef xmlns:a16="http://schemas.microsoft.com/office/drawing/2014/main" pred="{D02B7D9F-5351-48CB-9371-E842E14CF510}"/>
            </a:ext>
          </a:extLst>
        </xdr:cNvPr>
        <xdr:cNvCxnSpPr>
          <a:cxnSpLocks/>
        </xdr:cNvCxnSpPr>
      </xdr:nvCxnSpPr>
      <xdr:spPr>
        <a:xfrm flipV="1">
          <a:off x="2800350" y="3381375"/>
          <a:ext cx="1076325" cy="9525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258536</xdr:colOff>
      <xdr:row>24</xdr:row>
      <xdr:rowOff>93889</xdr:rowOff>
    </xdr:from>
    <xdr:to>
      <xdr:col>6</xdr:col>
      <xdr:colOff>257175</xdr:colOff>
      <xdr:row>24</xdr:row>
      <xdr:rowOff>95250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id="{F0347BE7-F8B4-4D88-ADE5-3329D40A2E8C}"/>
            </a:ext>
            <a:ext uri="{147F2762-F138-4A5C-976F-8EAC2B608ADB}">
              <a16:predDERef xmlns:a16="http://schemas.microsoft.com/office/drawing/2014/main" pred="{45BE2519-C57E-4F47-AAF1-53B38557F43E}"/>
            </a:ext>
          </a:extLst>
        </xdr:cNvPr>
        <xdr:cNvCxnSpPr>
          <a:cxnSpLocks/>
          <a:stCxn id="6" idx="3"/>
        </xdr:cNvCxnSpPr>
      </xdr:nvCxnSpPr>
      <xdr:spPr>
        <a:xfrm>
          <a:off x="2707822" y="4665889"/>
          <a:ext cx="1223282" cy="1361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32</xdr:row>
      <xdr:rowOff>95250</xdr:rowOff>
    </xdr:from>
    <xdr:to>
      <xdr:col>4</xdr:col>
      <xdr:colOff>206829</xdr:colOff>
      <xdr:row>34</xdr:row>
      <xdr:rowOff>76200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815413C-08E0-417B-A04E-A14918DBDB92}"/>
            </a:ext>
            <a:ext uri="{147F2762-F138-4A5C-976F-8EAC2B608ADB}">
              <a16:predDERef xmlns:a16="http://schemas.microsoft.com/office/drawing/2014/main" pred="{F0347BE7-F8B4-4D88-ADE5-3329D40A2E8C}"/>
            </a:ext>
          </a:extLst>
        </xdr:cNvPr>
        <xdr:cNvSpPr txBox="1"/>
      </xdr:nvSpPr>
      <xdr:spPr>
        <a:xfrm>
          <a:off x="666750" y="6191250"/>
          <a:ext cx="1978479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A partir desse mês, iniciamos os gastos com marketing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4</xdr:col>
      <xdr:colOff>200025</xdr:colOff>
      <xdr:row>33</xdr:row>
      <xdr:rowOff>85725</xdr:rowOff>
    </xdr:from>
    <xdr:to>
      <xdr:col>6</xdr:col>
      <xdr:colOff>198664</xdr:colOff>
      <xdr:row>33</xdr:row>
      <xdr:rowOff>87086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D051AD3B-FFD8-4356-9154-5FFD1593ED2F}"/>
            </a:ext>
            <a:ext uri="{147F2762-F138-4A5C-976F-8EAC2B608ADB}">
              <a16:predDERef xmlns:a16="http://schemas.microsoft.com/office/drawing/2014/main" pred="{9815413C-08E0-417B-A04E-A14918DBDB92}"/>
            </a:ext>
          </a:extLst>
        </xdr:cNvPr>
        <xdr:cNvCxnSpPr>
          <a:cxnSpLocks/>
          <a:extLst>
            <a:ext uri="{5F17804C-33F3-41E3-A699-7DCFA2EF7971}">
              <a16:cxnDERefs xmlns:a16="http://schemas.microsoft.com/office/drawing/2014/main" st="{517CE0E2-408B-4E83-8086-B4DAE9036ABA}" end="{00000000-0000-0000-0000-000000000000}"/>
            </a:ext>
          </a:extLst>
        </xdr:cNvCxnSpPr>
      </xdr:nvCxnSpPr>
      <xdr:spPr>
        <a:xfrm>
          <a:off x="2638425" y="6372225"/>
          <a:ext cx="1217839" cy="1361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85725</xdr:rowOff>
    </xdr:from>
    <xdr:to>
      <xdr:col>4</xdr:col>
      <xdr:colOff>238125</xdr:colOff>
      <xdr:row>4</xdr:row>
      <xdr:rowOff>133350</xdr:rowOff>
    </xdr:to>
    <xdr:sp macro="" textlink="">
      <xdr:nvSpPr>
        <xdr:cNvPr id="20" name="TextBox 2">
          <a:extLst>
            <a:ext uri="{FF2B5EF4-FFF2-40B4-BE49-F238E27FC236}">
              <a16:creationId xmlns:a16="http://schemas.microsoft.com/office/drawing/2014/main" id="{ED2D79D4-A301-B561-4005-FFF931D3006E}"/>
            </a:ext>
          </a:extLst>
        </xdr:cNvPr>
        <xdr:cNvSpPr txBox="1"/>
      </xdr:nvSpPr>
      <xdr:spPr>
        <a:xfrm>
          <a:off x="238125" y="276225"/>
          <a:ext cx="243840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A receita será nula no primeiro ano visando o desenvolvimento do produto.</a:t>
          </a:r>
        </a:p>
      </xdr:txBody>
    </xdr:sp>
    <xdr:clientData/>
  </xdr:twoCellAnchor>
  <xdr:twoCellAnchor>
    <xdr:from>
      <xdr:col>4</xdr:col>
      <xdr:colOff>219075</xdr:colOff>
      <xdr:row>2</xdr:row>
      <xdr:rowOff>104775</xdr:rowOff>
    </xdr:from>
    <xdr:to>
      <xdr:col>5</xdr:col>
      <xdr:colOff>266700</xdr:colOff>
      <xdr:row>2</xdr:row>
      <xdr:rowOff>180975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F2DC0A05-79EA-83CE-F160-594A5D07559B}"/>
            </a:ext>
            <a:ext uri="{147F2762-F138-4A5C-976F-8EAC2B608ADB}">
              <a16:predDERef xmlns:a16="http://schemas.microsoft.com/office/drawing/2014/main" pred="{ED2D79D4-A301-B561-4005-FFF931D3006E}"/>
            </a:ext>
          </a:extLst>
        </xdr:cNvPr>
        <xdr:cNvCxnSpPr>
          <a:cxnSpLocks/>
        </xdr:cNvCxnSpPr>
      </xdr:nvCxnSpPr>
      <xdr:spPr>
        <a:xfrm flipV="1">
          <a:off x="2657475" y="485775"/>
          <a:ext cx="657225" cy="76200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409575</xdr:colOff>
      <xdr:row>0</xdr:row>
      <xdr:rowOff>114300</xdr:rowOff>
    </xdr:from>
    <xdr:to>
      <xdr:col>11</xdr:col>
      <xdr:colOff>333375</xdr:colOff>
      <xdr:row>9</xdr:row>
      <xdr:rowOff>28575</xdr:rowOff>
    </xdr:to>
    <xdr:sp macro="" textlink="">
      <xdr:nvSpPr>
        <xdr:cNvPr id="19" name="TextBox 4">
          <a:extLst>
            <a:ext uri="{FF2B5EF4-FFF2-40B4-BE49-F238E27FC236}">
              <a16:creationId xmlns:a16="http://schemas.microsoft.com/office/drawing/2014/main" id="{E892B7D6-9AF9-4CB5-8406-50C21BD41087}"/>
            </a:ext>
            <a:ext uri="{147F2762-F138-4A5C-976F-8EAC2B608ADB}">
              <a16:predDERef xmlns:a16="http://schemas.microsoft.com/office/drawing/2014/main" pred="{F2DC0A05-79EA-83CE-F160-594A5D07559B}"/>
            </a:ext>
          </a:extLst>
        </xdr:cNvPr>
        <xdr:cNvSpPr txBox="1"/>
      </xdr:nvSpPr>
      <xdr:spPr>
        <a:xfrm>
          <a:off x="6819900" y="114300"/>
          <a:ext cx="2438400" cy="162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O AgilizApp possuirá 3 planos disponíveis. Os planos variam conforme a quantidade de usuários, clientes que a empresa contratante possui e quantidade de mensagens.</a:t>
          </a: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Os preços dependem da quantidade de mensagem visto que o preço do uso das APIs das plataformas depende da quantidade de mensagens.</a:t>
          </a:r>
        </a:p>
      </xdr:txBody>
    </xdr:sp>
    <xdr:clientData/>
  </xdr:twoCellAnchor>
  <xdr:twoCellAnchor>
    <xdr:from>
      <xdr:col>11</xdr:col>
      <xdr:colOff>333375</xdr:colOff>
      <xdr:row>2</xdr:row>
      <xdr:rowOff>133350</xdr:rowOff>
    </xdr:from>
    <xdr:to>
      <xdr:col>12</xdr:col>
      <xdr:colOff>190500</xdr:colOff>
      <xdr:row>4</xdr:row>
      <xdr:rowOff>171450</xdr:rowOff>
    </xdr:to>
    <xdr:cxnSp macro="">
      <xdr:nvCxnSpPr>
        <xdr:cNvPr id="6" name="Conector Reto 5">
          <a:extLst>
            <a:ext uri="{FF2B5EF4-FFF2-40B4-BE49-F238E27FC236}">
              <a16:creationId xmlns:a16="http://schemas.microsoft.com/office/drawing/2014/main" id="{50958E12-E7D4-403B-99A8-98F0BFF959A8}"/>
            </a:ext>
            <a:ext uri="{147F2762-F138-4A5C-976F-8EAC2B608ADB}">
              <a16:predDERef xmlns:a16="http://schemas.microsoft.com/office/drawing/2014/main" pred="{E892B7D6-9AF9-4CB5-8406-50C21BD41087}"/>
            </a:ext>
          </a:extLst>
        </xdr:cNvPr>
        <xdr:cNvCxnSpPr>
          <a:cxnSpLocks/>
          <a:stCxn id="19" idx="3"/>
          <a:extLst>
            <a:ext uri="{5F17804C-33F3-41E3-A699-7DCFA2EF7971}">
              <a16:cxnDERefs xmlns:a16="http://schemas.microsoft.com/office/drawing/2014/main" st="{E892B7D6-9AF9-4CB5-8406-50C21BD41087}" end="{00000000-0000-0000-0000-000000000000}"/>
            </a:ext>
          </a:extLst>
        </xdr:cNvCxnSpPr>
      </xdr:nvCxnSpPr>
      <xdr:spPr>
        <a:xfrm flipV="1">
          <a:off x="9258300" y="514350"/>
          <a:ext cx="695325" cy="419100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11</xdr:row>
      <xdr:rowOff>180975</xdr:rowOff>
    </xdr:from>
    <xdr:to>
      <xdr:col>11</xdr:col>
      <xdr:colOff>228600</xdr:colOff>
      <xdr:row>17</xdr:row>
      <xdr:rowOff>104775</xdr:rowOff>
    </xdr:to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4B8E6B7D-BA06-442C-9956-5D8E7EC54FDD}"/>
            </a:ext>
            <a:ext uri="{147F2762-F138-4A5C-976F-8EAC2B608ADB}">
              <a16:predDERef xmlns:a16="http://schemas.microsoft.com/office/drawing/2014/main" pred="{50958E12-E7D4-403B-99A8-98F0BFF959A8}"/>
            </a:ext>
          </a:extLst>
        </xdr:cNvPr>
        <xdr:cNvSpPr txBox="1"/>
      </xdr:nvSpPr>
      <xdr:spPr>
        <a:xfrm>
          <a:off x="6715125" y="2276475"/>
          <a:ext cx="24384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Plano Starter: Desenvolvido para empresas não tão grandes, que possuem uma quantidade fixa de clientes e precisam agilizar a comunicação entre eles.</a:t>
          </a:r>
        </a:p>
      </xdr:txBody>
    </xdr:sp>
    <xdr:clientData/>
  </xdr:twoCellAnchor>
  <xdr:twoCellAnchor>
    <xdr:from>
      <xdr:col>11</xdr:col>
      <xdr:colOff>495300</xdr:colOff>
      <xdr:row>25</xdr:row>
      <xdr:rowOff>57150</xdr:rowOff>
    </xdr:from>
    <xdr:to>
      <xdr:col>13</xdr:col>
      <xdr:colOff>9525</xdr:colOff>
      <xdr:row>28</xdr:row>
      <xdr:rowOff>85725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id="{01D94A80-FA36-4738-9B70-7CFDB04753BE}"/>
            </a:ext>
            <a:ext uri="{147F2762-F138-4A5C-976F-8EAC2B608ADB}">
              <a16:predDERef xmlns:a16="http://schemas.microsoft.com/office/drawing/2014/main" pred="{4B8E6B7D-BA06-442C-9956-5D8E7EC54FDD}"/>
            </a:ext>
          </a:extLst>
        </xdr:cNvPr>
        <xdr:cNvCxnSpPr>
          <a:cxnSpLocks/>
        </xdr:cNvCxnSpPr>
      </xdr:nvCxnSpPr>
      <xdr:spPr>
        <a:xfrm flipV="1">
          <a:off x="9420225" y="4819650"/>
          <a:ext cx="647700" cy="600075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19</xdr:row>
      <xdr:rowOff>123825</xdr:rowOff>
    </xdr:from>
    <xdr:to>
      <xdr:col>12</xdr:col>
      <xdr:colOff>247650</xdr:colOff>
      <xdr:row>22</xdr:row>
      <xdr:rowOff>114300</xdr:rowOff>
    </xdr:to>
    <xdr:cxnSp macro="">
      <xdr:nvCxnSpPr>
        <xdr:cNvPr id="10" name="Conector Reto 9">
          <a:extLst>
            <a:ext uri="{FF2B5EF4-FFF2-40B4-BE49-F238E27FC236}">
              <a16:creationId xmlns:a16="http://schemas.microsoft.com/office/drawing/2014/main" id="{C2DDA75A-4E4F-4059-9358-E0CE2EB87256}"/>
            </a:ext>
            <a:ext uri="{147F2762-F138-4A5C-976F-8EAC2B608ADB}">
              <a16:predDERef xmlns:a16="http://schemas.microsoft.com/office/drawing/2014/main" pred="{01D94A80-FA36-4738-9B70-7CFDB04753BE}"/>
            </a:ext>
          </a:extLst>
        </xdr:cNvPr>
        <xdr:cNvCxnSpPr>
          <a:cxnSpLocks/>
          <a:stCxn id="15" idx="3"/>
          <a:extLst>
            <a:ext uri="{5F17804C-33F3-41E3-A699-7DCFA2EF7971}">
              <a16:cxnDERefs xmlns:a16="http://schemas.microsoft.com/office/drawing/2014/main" st="{5B226C11-BF48-4F24-A849-9FFA1A30541A}" end="{00000000-0000-0000-0000-000000000000}"/>
            </a:ext>
          </a:extLst>
        </xdr:cNvCxnSpPr>
      </xdr:nvCxnSpPr>
      <xdr:spPr>
        <a:xfrm flipV="1">
          <a:off x="9258300" y="3743325"/>
          <a:ext cx="786493" cy="561975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11</xdr:row>
      <xdr:rowOff>0</xdr:rowOff>
    </xdr:from>
    <xdr:to>
      <xdr:col>12</xdr:col>
      <xdr:colOff>57150</xdr:colOff>
      <xdr:row>14</xdr:row>
      <xdr:rowOff>152400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0FAF7C09-A0BB-4436-8B0D-1C7947C21F49}"/>
            </a:ext>
            <a:ext uri="{147F2762-F138-4A5C-976F-8EAC2B608ADB}">
              <a16:predDERef xmlns:a16="http://schemas.microsoft.com/office/drawing/2014/main" pred="{C2DDA75A-4E4F-4059-9358-E0CE2EB87256}"/>
            </a:ext>
          </a:extLst>
        </xdr:cNvPr>
        <xdr:cNvCxnSpPr>
          <a:cxnSpLocks/>
          <a:stCxn id="8" idx="3"/>
          <a:extLst>
            <a:ext uri="{5F17804C-33F3-41E3-A699-7DCFA2EF7971}">
              <a16:cxnDERefs xmlns:a16="http://schemas.microsoft.com/office/drawing/2014/main" st="{4B8E6B7D-BA06-442C-9956-5D8E7EC54FDD}" end="{00000000-0000-0000-0000-000000000000}"/>
            </a:ext>
          </a:extLst>
        </xdr:cNvCxnSpPr>
      </xdr:nvCxnSpPr>
      <xdr:spPr>
        <a:xfrm flipV="1">
          <a:off x="9153525" y="2095500"/>
          <a:ext cx="666750" cy="723900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19</xdr:row>
      <xdr:rowOff>152400</xdr:rowOff>
    </xdr:from>
    <xdr:to>
      <xdr:col>11</xdr:col>
      <xdr:colOff>304800</xdr:colOff>
      <xdr:row>25</xdr:row>
      <xdr:rowOff>76200</xdr:rowOff>
    </xdr:to>
    <xdr:sp macro="" textlink="">
      <xdr:nvSpPr>
        <xdr:cNvPr id="15" name="TextBox 11">
          <a:extLst>
            <a:ext uri="{FF2B5EF4-FFF2-40B4-BE49-F238E27FC236}">
              <a16:creationId xmlns:a16="http://schemas.microsoft.com/office/drawing/2014/main" id="{5B226C11-BF48-4F24-A849-9FFA1A30541A}"/>
            </a:ext>
            <a:ext uri="{147F2762-F138-4A5C-976F-8EAC2B608ADB}">
              <a16:predDERef xmlns:a16="http://schemas.microsoft.com/office/drawing/2014/main" pred="{0FAF7C09-A0BB-4436-8B0D-1C7947C21F49}"/>
            </a:ext>
          </a:extLst>
        </xdr:cNvPr>
        <xdr:cNvSpPr txBox="1"/>
      </xdr:nvSpPr>
      <xdr:spPr>
        <a:xfrm>
          <a:off x="6791325" y="3771900"/>
          <a:ext cx="24384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Plano Standart: Feito para empresas com uma quantidade moderada de clientes, que já possuem suporte e SAC visto que suporta abundância de mensagens por plataforma.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561975</xdr:colOff>
      <xdr:row>26</xdr:row>
      <xdr:rowOff>123825</xdr:rowOff>
    </xdr:from>
    <xdr:to>
      <xdr:col>11</xdr:col>
      <xdr:colOff>485775</xdr:colOff>
      <xdr:row>32</xdr:row>
      <xdr:rowOff>47625</xdr:rowOff>
    </xdr:to>
    <xdr:sp macro="" textlink="">
      <xdr:nvSpPr>
        <xdr:cNvPr id="17" name="TextBox 12">
          <a:extLst>
            <a:ext uri="{FF2B5EF4-FFF2-40B4-BE49-F238E27FC236}">
              <a16:creationId xmlns:a16="http://schemas.microsoft.com/office/drawing/2014/main" id="{5731106B-A3A9-42C5-B6B2-0265DDCA00B2}"/>
            </a:ext>
            <a:ext uri="{147F2762-F138-4A5C-976F-8EAC2B608ADB}">
              <a16:predDERef xmlns:a16="http://schemas.microsoft.com/office/drawing/2014/main" pred="{5B226C11-BF48-4F24-A849-9FFA1A30541A}"/>
            </a:ext>
          </a:extLst>
        </xdr:cNvPr>
        <xdr:cNvSpPr txBox="1"/>
      </xdr:nvSpPr>
      <xdr:spPr>
        <a:xfrm>
          <a:off x="6972300" y="5076825"/>
          <a:ext cx="24384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Plano Plus: Criado para grandes empresas. Com uma quantidade bem expressiva de clientes suportando até 34000 mil mensagens.</a:t>
          </a:r>
        </a:p>
      </xdr:txBody>
    </xdr:sp>
    <xdr:clientData/>
  </xdr:twoCellAnchor>
  <xdr:twoCellAnchor>
    <xdr:from>
      <xdr:col>29</xdr:col>
      <xdr:colOff>465364</xdr:colOff>
      <xdr:row>5</xdr:row>
      <xdr:rowOff>141514</xdr:rowOff>
    </xdr:from>
    <xdr:to>
      <xdr:col>33</xdr:col>
      <xdr:colOff>21772</xdr:colOff>
      <xdr:row>10</xdr:row>
      <xdr:rowOff>40821</xdr:rowOff>
    </xdr:to>
    <xdr:sp macro="" textlink="">
      <xdr:nvSpPr>
        <xdr:cNvPr id="21" name="TextBox 4">
          <a:extLst>
            <a:ext uri="{FF2B5EF4-FFF2-40B4-BE49-F238E27FC236}">
              <a16:creationId xmlns:a16="http://schemas.microsoft.com/office/drawing/2014/main" id="{D35A6219-032E-4287-8487-30A3CEBB2983}"/>
            </a:ext>
            <a:ext uri="{147F2762-F138-4A5C-976F-8EAC2B608ADB}">
              <a16:predDERef xmlns:a16="http://schemas.microsoft.com/office/drawing/2014/main" pred="{F2DC0A05-79EA-83CE-F160-594A5D07559B}"/>
            </a:ext>
          </a:extLst>
        </xdr:cNvPr>
        <xdr:cNvSpPr txBox="1"/>
      </xdr:nvSpPr>
      <xdr:spPr>
        <a:xfrm>
          <a:off x="26563864" y="1094014"/>
          <a:ext cx="2454729" cy="851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Na taxa de serviço consideramos 60% sobre</a:t>
          </a:r>
          <a:r>
            <a:rPr lang="en-US" sz="11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o valor da formação de preço do produto para incluir o lucro e atividades de suporte e manutenção do sistema.</a:t>
          </a:r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28</xdr:col>
      <xdr:colOff>163286</xdr:colOff>
      <xdr:row>5</xdr:row>
      <xdr:rowOff>149679</xdr:rowOff>
    </xdr:from>
    <xdr:to>
      <xdr:col>29</xdr:col>
      <xdr:colOff>465364</xdr:colOff>
      <xdr:row>7</xdr:row>
      <xdr:rowOff>186418</xdr:rowOff>
    </xdr:to>
    <xdr:cxnSp macro="">
      <xdr:nvCxnSpPr>
        <xdr:cNvPr id="22" name="Conector Reto 5">
          <a:extLst>
            <a:ext uri="{FF2B5EF4-FFF2-40B4-BE49-F238E27FC236}">
              <a16:creationId xmlns:a16="http://schemas.microsoft.com/office/drawing/2014/main" id="{2C86C0A8-0363-4813-B69A-2D2E31511502}"/>
            </a:ext>
            <a:ext uri="{147F2762-F138-4A5C-976F-8EAC2B608ADB}">
              <a16:predDERef xmlns:a16="http://schemas.microsoft.com/office/drawing/2014/main" pred="{E892B7D6-9AF9-4CB5-8406-50C21BD41087}"/>
            </a:ext>
          </a:extLst>
        </xdr:cNvPr>
        <xdr:cNvCxnSpPr>
          <a:cxnSpLocks/>
          <a:stCxn id="21" idx="1"/>
          <a:extLst>
            <a:ext uri="{5F17804C-33F3-41E3-A699-7DCFA2EF7971}">
              <a16:cxnDERefs xmlns:a16="http://schemas.microsoft.com/office/drawing/2014/main" st="{E892B7D6-9AF9-4CB5-8406-50C21BD41087}" end="{00000000-0000-0000-0000-000000000000}"/>
            </a:ext>
          </a:extLst>
        </xdr:cNvCxnSpPr>
      </xdr:nvCxnSpPr>
      <xdr:spPr>
        <a:xfrm flipH="1" flipV="1">
          <a:off x="25962429" y="1102179"/>
          <a:ext cx="601435" cy="417739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386442</xdr:colOff>
      <xdr:row>17</xdr:row>
      <xdr:rowOff>144236</xdr:rowOff>
    </xdr:from>
    <xdr:to>
      <xdr:col>32</xdr:col>
      <xdr:colOff>242207</xdr:colOff>
      <xdr:row>21</xdr:row>
      <xdr:rowOff>40822</xdr:rowOff>
    </xdr:to>
    <xdr:sp macro="" textlink="">
      <xdr:nvSpPr>
        <xdr:cNvPr id="27" name="TextBox 4">
          <a:extLst>
            <a:ext uri="{FF2B5EF4-FFF2-40B4-BE49-F238E27FC236}">
              <a16:creationId xmlns:a16="http://schemas.microsoft.com/office/drawing/2014/main" id="{4B120E9C-D2C3-479A-A5DB-6A07ACF26A8A}"/>
            </a:ext>
            <a:ext uri="{147F2762-F138-4A5C-976F-8EAC2B608ADB}">
              <a16:predDERef xmlns:a16="http://schemas.microsoft.com/office/drawing/2014/main" pred="{F2DC0A05-79EA-83CE-F160-594A5D07559B}"/>
            </a:ext>
          </a:extLst>
        </xdr:cNvPr>
        <xdr:cNvSpPr txBox="1"/>
      </xdr:nvSpPr>
      <xdr:spPr>
        <a:xfrm>
          <a:off x="26484942" y="3382736"/>
          <a:ext cx="2454729" cy="6585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Anualmente, adicionamos 20% sobre os valores dos produtos a título de reajuste</a:t>
          </a:r>
          <a:r>
            <a:rPr lang="en-US" sz="11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das mensalidades dos clientes.</a:t>
          </a:r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28</xdr:col>
      <xdr:colOff>84364</xdr:colOff>
      <xdr:row>17</xdr:row>
      <xdr:rowOff>152400</xdr:rowOff>
    </xdr:from>
    <xdr:to>
      <xdr:col>29</xdr:col>
      <xdr:colOff>386442</xdr:colOff>
      <xdr:row>19</xdr:row>
      <xdr:rowOff>92529</xdr:rowOff>
    </xdr:to>
    <xdr:cxnSp macro="">
      <xdr:nvCxnSpPr>
        <xdr:cNvPr id="28" name="Conector Reto 5">
          <a:extLst>
            <a:ext uri="{FF2B5EF4-FFF2-40B4-BE49-F238E27FC236}">
              <a16:creationId xmlns:a16="http://schemas.microsoft.com/office/drawing/2014/main" id="{927E53D4-47E6-4E40-874B-2E0BF884A645}"/>
            </a:ext>
            <a:ext uri="{147F2762-F138-4A5C-976F-8EAC2B608ADB}">
              <a16:predDERef xmlns:a16="http://schemas.microsoft.com/office/drawing/2014/main" pred="{E892B7D6-9AF9-4CB5-8406-50C21BD41087}"/>
            </a:ext>
          </a:extLst>
        </xdr:cNvPr>
        <xdr:cNvCxnSpPr>
          <a:cxnSpLocks/>
          <a:stCxn id="27" idx="1"/>
          <a:extLst>
            <a:ext uri="{5F17804C-33F3-41E3-A699-7DCFA2EF7971}">
              <a16:cxnDERefs xmlns:a16="http://schemas.microsoft.com/office/drawing/2014/main" st="{E892B7D6-9AF9-4CB5-8406-50C21BD41087}" end="{00000000-0000-0000-0000-000000000000}"/>
            </a:ext>
          </a:extLst>
        </xdr:cNvCxnSpPr>
      </xdr:nvCxnSpPr>
      <xdr:spPr>
        <a:xfrm flipH="1" flipV="1">
          <a:off x="25883507" y="3390900"/>
          <a:ext cx="601435" cy="321129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1343025</xdr:colOff>
      <xdr:row>20</xdr:row>
      <xdr:rowOff>1</xdr:rowOff>
    </xdr:from>
    <xdr:to>
      <xdr:col>10</xdr:col>
      <xdr:colOff>790575</xdr:colOff>
      <xdr:row>29</xdr:row>
      <xdr:rowOff>114301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B5E3BFEB-E309-487D-8BA4-096A960B9B08}"/>
            </a:ext>
            <a:ext uri="{147F2762-F138-4A5C-976F-8EAC2B608ADB}">
              <a16:predDERef xmlns:a16="http://schemas.microsoft.com/office/drawing/2014/main" pred="{43418BD1-54E6-2947-11E2-9C6F64A3D06A}"/>
            </a:ext>
          </a:extLst>
        </xdr:cNvPr>
        <xdr:cNvSpPr txBox="1"/>
      </xdr:nvSpPr>
      <xdr:spPr>
        <a:xfrm>
          <a:off x="6690632" y="3864430"/>
          <a:ext cx="4237264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pt-BR" sz="1100" b="0" i="0">
              <a:effectLst/>
              <a:latin typeface="+mn-lt"/>
              <a:ea typeface="+mn-ea"/>
              <a:cs typeface="+mn-cs"/>
            </a:rPr>
            <a:t>O</a:t>
          </a:r>
          <a:r>
            <a:rPr lang="pt-BR" sz="11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>
              <a:effectLst/>
              <a:latin typeface="+mn-lt"/>
              <a:ea typeface="+mn-ea"/>
              <a:cs typeface="+mn-cs"/>
            </a:rPr>
            <a:t>projeto apresenta um VP do benefício de R$ 983.532,01, indicando um retorno financeiro positivo. O VPL de R$ 633.532,01 mostra que o projeto é viável economicamente. Considerando a incerteza e o risco, o VPLA é de R$ R$ 211.840,24. O IBC de 2,81 significa que os benefícios são cerca de 2,81 vezes maiores do que os custos. A taxa de ROIA de </a:t>
          </a:r>
          <a:r>
            <a:rPr lang="pt-BR" sz="1100" b="0" i="0" u="none" strike="noStrike">
              <a:effectLst/>
              <a:latin typeface="+mn-lt"/>
              <a:ea typeface="+mn-ea"/>
              <a:cs typeface="+mn-cs"/>
            </a:rPr>
            <a:t>22,95%</a:t>
          </a:r>
          <a:r>
            <a:rPr lang="pt-BR" sz="1100" b="0" i="0">
              <a:effectLst/>
              <a:latin typeface="+mn-lt"/>
              <a:ea typeface="+mn-ea"/>
              <a:cs typeface="+mn-cs"/>
            </a:rPr>
            <a:t> indica um retorno anual atrativo em relação ao investimento. O período de payback é de 4,11 anos, ou seja, o tempo necessário para recuperar o investimento é relativamente curto. A TIR de 43,54% supera a taxa mínima de atratividade, indicando que o projeto é favorável.</a:t>
          </a:r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8</xdr:col>
      <xdr:colOff>76200</xdr:colOff>
      <xdr:row>2</xdr:row>
      <xdr:rowOff>180975</xdr:rowOff>
    </xdr:from>
    <xdr:to>
      <xdr:col>9</xdr:col>
      <xdr:colOff>466725</xdr:colOff>
      <xdr:row>2</xdr:row>
      <xdr:rowOff>180975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F74D5B0B-292E-4D0C-ACD7-2AAC3E7356F5}"/>
            </a:ext>
            <a:ext uri="{147F2762-F138-4A5C-976F-8EAC2B608ADB}">
              <a16:predDERef xmlns:a16="http://schemas.microsoft.com/office/drawing/2014/main" pred="{B5E3BFEB-E309-487D-8BA4-096A960B9B08}"/>
            </a:ext>
          </a:extLst>
        </xdr:cNvPr>
        <xdr:cNvCxnSpPr>
          <a:cxnSpLocks/>
        </xdr:cNvCxnSpPr>
      </xdr:nvCxnSpPr>
      <xdr:spPr>
        <a:xfrm flipH="1">
          <a:off x="8162925" y="609600"/>
          <a:ext cx="666750" cy="0"/>
        </a:xfrm>
        <a:prstGeom prst="line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447675</xdr:colOff>
      <xdr:row>1</xdr:row>
      <xdr:rowOff>66675</xdr:rowOff>
    </xdr:from>
    <xdr:to>
      <xdr:col>10</xdr:col>
      <xdr:colOff>1104900</xdr:colOff>
      <xdr:row>3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3D9008B-6ECE-46C6-B0BA-E63220363F9C}"/>
            </a:ext>
            <a:ext uri="{147F2762-F138-4A5C-976F-8EAC2B608ADB}">
              <a16:predDERef xmlns:a16="http://schemas.microsoft.com/office/drawing/2014/main" pred="{F74D5B0B-292E-4D0C-ACD7-2AAC3E7356F5}"/>
            </a:ext>
          </a:extLst>
        </xdr:cNvPr>
        <xdr:cNvSpPr txBox="1"/>
      </xdr:nvSpPr>
      <xdr:spPr>
        <a:xfrm>
          <a:off x="8810625" y="257175"/>
          <a:ext cx="24384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Pago com o dinheiro investido inicialmente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1323975</xdr:colOff>
      <xdr:row>21</xdr:row>
      <xdr:rowOff>38100</xdr:rowOff>
    </xdr:from>
    <xdr:to>
      <xdr:col>12</xdr:col>
      <xdr:colOff>428625</xdr:colOff>
      <xdr:row>26</xdr:row>
      <xdr:rowOff>85725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A451599-4B13-42A9-BB35-13DDEFE34E88}"/>
            </a:ext>
            <a:ext uri="{147F2762-F138-4A5C-976F-8EAC2B608ADB}">
              <a16:predDERef xmlns:a16="http://schemas.microsoft.com/office/drawing/2014/main" pred="{6CF1506F-A919-4449-AACB-111D01416436}"/>
            </a:ext>
          </a:extLst>
        </xdr:cNvPr>
        <xdr:cNvSpPr txBox="1"/>
      </xdr:nvSpPr>
      <xdr:spPr>
        <a:xfrm>
          <a:off x="6524625" y="4086225"/>
          <a:ext cx="501967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Mesmo no cenário pessimista é válido o investimento, pois apesar do payback ocorrer da metade pra cima do ano 4, o TIR está na casa dos 33,24%  o que infere um risco não elevado pro investimento. Além disso, o ROIA mantém um retorno de 14% acima do valor investido e o IBC informa que, a cada 1 real investido, o retorno seria</a:t>
          </a:r>
          <a:r>
            <a:rPr lang="en-US" sz="11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de 1,93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.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19049</xdr:rowOff>
    </xdr:from>
    <xdr:to>
      <xdr:col>11</xdr:col>
      <xdr:colOff>28575</xdr:colOff>
      <xdr:row>27</xdr:row>
      <xdr:rowOff>85724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DC59C6E0-0552-4044-8D95-802923FE7296}"/>
            </a:ext>
            <a:ext uri="{147F2762-F138-4A5C-976F-8EAC2B608ADB}">
              <a16:predDERef xmlns:a16="http://schemas.microsoft.com/office/drawing/2014/main" pred="{6CF1506F-A919-4449-AACB-111D01416436}"/>
            </a:ext>
          </a:extLst>
        </xdr:cNvPr>
        <xdr:cNvSpPr txBox="1"/>
      </xdr:nvSpPr>
      <xdr:spPr>
        <a:xfrm>
          <a:off x="6553200" y="4067174"/>
          <a:ext cx="4314825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Analisando os outros dois cenários, claramente o cenário otimista o investimento é altamente recomendado visto que o payback retornaria cedo, apenas em </a:t>
          </a:r>
          <a:r>
            <a:rPr lang="pt-BR" sz="1100" b="0" i="0" u="none" strike="noStrike">
              <a:effectLst/>
              <a:latin typeface="+mn-lt"/>
              <a:ea typeface="+mn-ea"/>
              <a:cs typeface="+mn-cs"/>
            </a:rPr>
            <a:t>3,68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anos. Com a TIR próxima de 50%, identifica-se um investimento de baixo risco. Além disso,</a:t>
          </a:r>
          <a:r>
            <a:rPr lang="en-US" sz="11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o IBC informa que a cada 1 real investido seriam recuperados mais do que o</a:t>
          </a:r>
          <a:r>
            <a:rPr lang="en-US" sz="11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triplo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, ou seja, caracterizando</a:t>
          </a:r>
          <a:r>
            <a:rPr lang="en-US" sz="11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um empreendimento extremamente viável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8</xdr:col>
      <xdr:colOff>1228725</xdr:colOff>
      <xdr:row>15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55B578-3F13-4F2B-A791-60F852F066E1}"/>
            </a:ext>
            <a:ext uri="{147F2762-F138-4A5C-976F-8EAC2B608ADB}">
              <a16:predDERef xmlns:a16="http://schemas.microsoft.com/office/drawing/2014/main" pred="{6CF1506F-A919-4449-AACB-111D01416436}"/>
            </a:ext>
          </a:extLst>
        </xdr:cNvPr>
        <xdr:cNvSpPr txBox="1"/>
      </xdr:nvSpPr>
      <xdr:spPr>
        <a:xfrm>
          <a:off x="295275" y="2333625"/>
          <a:ext cx="667702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>
              <a:latin typeface="+mn-lt"/>
              <a:ea typeface="+mn-lt"/>
              <a:cs typeface="+mn-lt"/>
            </a:rPr>
            <a:t>Em conclusão, considerando os três cenários, o empreendimento apresenta uma viabilidade geralmente positiva. O cenário real mostra um retorno sólido, enquanto o cenário pessimista ainda demonstra viabilidade, embora com retornos mais modestos. O cenário otimista revela um potencial promissor com retornos significativos.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mel\Downloads\Exemplo%203.xlsx" TargetMode="External"/><Relationship Id="rId1" Type="http://schemas.openxmlformats.org/officeDocument/2006/relationships/externalLinkPath" Target="file:///C:\Users\pamel\Downloads\Exemplo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ício"/>
      <sheetName val="Investimento"/>
      <sheetName val="Despesas"/>
      <sheetName val="Receitas"/>
      <sheetName val="Real "/>
      <sheetName val="Pessimista "/>
      <sheetName val="Otimista"/>
      <sheetName val="Conclusão "/>
    </sheetNames>
    <sheetDataSet>
      <sheetData sheetId="0"/>
      <sheetData sheetId="1"/>
      <sheetData sheetId="2"/>
      <sheetData sheetId="3"/>
      <sheetData sheetId="4">
        <row r="3">
          <cell r="B3">
            <v>1.1714916919856577E-2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EB481-572D-4801-B2D6-B885C6A402F3}">
  <dimension ref="A1:M4"/>
  <sheetViews>
    <sheetView workbookViewId="0">
      <selection activeCell="B2" sqref="B2"/>
    </sheetView>
  </sheetViews>
  <sheetFormatPr defaultRowHeight="15"/>
  <cols>
    <col min="1" max="1" width="3.28515625" customWidth="1"/>
    <col min="14" max="14" width="3.85546875" customWidth="1"/>
  </cols>
  <sheetData>
    <row r="1" spans="1:13" s="86" customFormat="1"/>
    <row r="2" spans="1:13" s="8" customFormat="1" ht="34.5" customHeight="1">
      <c r="A2" s="7"/>
      <c r="B2" s="80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s="8" customFormat="1" ht="50.25" customHeight="1">
      <c r="A3" s="7"/>
      <c r="B3" s="77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</row>
    <row r="4" spans="1:13" s="8" customFormat="1" ht="20.25" customHeight="1">
      <c r="A4" s="7"/>
      <c r="B4" s="83" t="s">
        <v>2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</sheetData>
  <mergeCells count="4">
    <mergeCell ref="B3:M3"/>
    <mergeCell ref="B2:M2"/>
    <mergeCell ref="B4:M4"/>
    <mergeCell ref="A1:XFD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98699-B690-4F24-BE80-472ABF43EBA2}">
  <dimension ref="H2:R16"/>
  <sheetViews>
    <sheetView topLeftCell="B1" zoomScale="85" zoomScaleNormal="85" workbookViewId="0">
      <selection activeCell="H11" sqref="H11:I16"/>
    </sheetView>
  </sheetViews>
  <sheetFormatPr defaultRowHeight="15"/>
  <cols>
    <col min="1" max="6" width="9.140625" style="17"/>
    <col min="7" max="7" width="4.42578125" style="17" customWidth="1"/>
    <col min="8" max="8" width="25.85546875" style="17" customWidth="1"/>
    <col min="9" max="9" width="13" style="17" customWidth="1"/>
    <col min="10" max="10" width="14" style="17" customWidth="1"/>
    <col min="11" max="11" width="7" style="17" customWidth="1"/>
    <col min="12" max="12" width="25.85546875" style="17" customWidth="1"/>
    <col min="13" max="13" width="13" style="17" customWidth="1"/>
    <col min="14" max="14" width="14" style="17" customWidth="1"/>
    <col min="15" max="15" width="7" style="17" customWidth="1"/>
    <col min="16" max="16" width="25.85546875" style="17" customWidth="1"/>
    <col min="17" max="17" width="13" style="17" customWidth="1"/>
    <col min="18" max="18" width="14" style="17" customWidth="1"/>
    <col min="19" max="16384" width="9.140625" style="17"/>
  </cols>
  <sheetData>
    <row r="2" spans="8:18">
      <c r="H2" s="87" t="s">
        <v>3</v>
      </c>
      <c r="I2" s="88"/>
      <c r="J2" s="89"/>
      <c r="L2" s="90" t="s">
        <v>4</v>
      </c>
      <c r="M2" s="91"/>
      <c r="N2" s="92"/>
      <c r="P2" s="19" t="s">
        <v>5</v>
      </c>
      <c r="Q2" s="20"/>
      <c r="R2" s="21"/>
    </row>
    <row r="3" spans="8:18">
      <c r="H3" s="22" t="s">
        <v>6</v>
      </c>
      <c r="I3" s="22" t="s">
        <v>7</v>
      </c>
      <c r="J3" s="22" t="s">
        <v>8</v>
      </c>
      <c r="L3" s="22" t="s">
        <v>6</v>
      </c>
      <c r="M3" s="22" t="s">
        <v>7</v>
      </c>
      <c r="N3" s="22" t="s">
        <v>8</v>
      </c>
      <c r="P3" s="22" t="s">
        <v>6</v>
      </c>
      <c r="Q3" s="22" t="s">
        <v>7</v>
      </c>
      <c r="R3" s="22" t="s">
        <v>8</v>
      </c>
    </row>
    <row r="4" spans="8:18">
      <c r="H4" s="23" t="s">
        <v>9</v>
      </c>
      <c r="I4" s="23">
        <v>1</v>
      </c>
      <c r="J4" s="24">
        <v>1095</v>
      </c>
      <c r="L4" s="23" t="s">
        <v>10</v>
      </c>
      <c r="M4" s="23">
        <v>3</v>
      </c>
      <c r="N4" s="24">
        <f>7000*M4</f>
        <v>21000</v>
      </c>
      <c r="P4" s="23" t="s">
        <v>11</v>
      </c>
      <c r="Q4" s="23">
        <v>1</v>
      </c>
      <c r="R4" s="24">
        <v>350000</v>
      </c>
    </row>
    <row r="5" spans="8:18">
      <c r="H5" s="23" t="s">
        <v>12</v>
      </c>
      <c r="I5" s="23">
        <v>1</v>
      </c>
      <c r="J5" s="24">
        <v>4200</v>
      </c>
      <c r="L5" s="25" t="s">
        <v>13</v>
      </c>
      <c r="M5" s="25"/>
      <c r="N5" s="26">
        <f>SUM(N4:N4)</f>
        <v>21000</v>
      </c>
      <c r="P5" s="25" t="s">
        <v>13</v>
      </c>
      <c r="Q5" s="25"/>
      <c r="R5" s="26">
        <f>SUM(R4)</f>
        <v>350000</v>
      </c>
    </row>
    <row r="6" spans="8:18">
      <c r="H6" s="23" t="s">
        <v>14</v>
      </c>
      <c r="I6" s="23">
        <v>1</v>
      </c>
      <c r="J6" s="24">
        <v>1000</v>
      </c>
    </row>
    <row r="7" spans="8:18">
      <c r="H7" s="23" t="s">
        <v>15</v>
      </c>
      <c r="I7" s="23">
        <v>1</v>
      </c>
      <c r="J7" s="24">
        <v>890</v>
      </c>
    </row>
    <row r="8" spans="8:18">
      <c r="H8" s="23" t="s">
        <v>16</v>
      </c>
      <c r="I8" s="23">
        <v>1</v>
      </c>
      <c r="J8" s="24">
        <v>40</v>
      </c>
    </row>
    <row r="9" spans="8:18">
      <c r="H9" s="25" t="s">
        <v>13</v>
      </c>
      <c r="I9" s="25"/>
      <c r="J9" s="26">
        <f>SUM(J4:J8)</f>
        <v>7225</v>
      </c>
    </row>
    <row r="11" spans="8:18">
      <c r="H11" s="87" t="s">
        <v>13</v>
      </c>
      <c r="I11" s="89"/>
    </row>
    <row r="12" spans="8:18">
      <c r="H12" s="22" t="s">
        <v>6</v>
      </c>
      <c r="I12" s="22" t="s">
        <v>8</v>
      </c>
    </row>
    <row r="13" spans="8:18">
      <c r="H13" s="23" t="s">
        <v>3</v>
      </c>
      <c r="I13" s="24">
        <f>J9</f>
        <v>7225</v>
      </c>
    </row>
    <row r="14" spans="8:18">
      <c r="H14" s="23" t="s">
        <v>4</v>
      </c>
      <c r="I14" s="24">
        <f>N5</f>
        <v>21000</v>
      </c>
    </row>
    <row r="15" spans="8:18">
      <c r="H15" s="23" t="s">
        <v>5</v>
      </c>
      <c r="I15" s="24">
        <f>R5</f>
        <v>350000</v>
      </c>
    </row>
    <row r="16" spans="8:18">
      <c r="H16" s="25" t="s">
        <v>17</v>
      </c>
      <c r="I16" s="26">
        <f>SUM(I13+I14+I15)</f>
        <v>378225</v>
      </c>
    </row>
  </sheetData>
  <mergeCells count="3">
    <mergeCell ref="H2:J2"/>
    <mergeCell ref="L2:N2"/>
    <mergeCell ref="H11:I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C5E9-993D-4007-88FB-5DE2BE294535}">
  <dimension ref="H2:AD46"/>
  <sheetViews>
    <sheetView zoomScale="70" zoomScaleNormal="70" workbookViewId="0">
      <selection activeCell="J30" sqref="J30"/>
    </sheetView>
  </sheetViews>
  <sheetFormatPr defaultColWidth="9.140625" defaultRowHeight="15"/>
  <cols>
    <col min="1" max="6" width="9.140625" style="9"/>
    <col min="7" max="7" width="4.42578125" style="9" customWidth="1"/>
    <col min="8" max="8" width="24" style="9" bestFit="1" customWidth="1"/>
    <col min="9" max="9" width="12.5703125" style="9" bestFit="1" customWidth="1"/>
    <col min="10" max="10" width="15.42578125" style="9" bestFit="1" customWidth="1"/>
    <col min="11" max="11" width="4.42578125" style="9" customWidth="1"/>
    <col min="12" max="12" width="24" style="9" bestFit="1" customWidth="1"/>
    <col min="13" max="13" width="12.5703125" style="9" bestFit="1" customWidth="1"/>
    <col min="14" max="14" width="15" style="9" bestFit="1" customWidth="1"/>
    <col min="15" max="15" width="4.42578125" style="9" customWidth="1"/>
    <col min="16" max="16" width="24" style="9" bestFit="1" customWidth="1"/>
    <col min="17" max="17" width="12.5703125" style="9" bestFit="1" customWidth="1"/>
    <col min="18" max="18" width="15" style="9" bestFit="1" customWidth="1"/>
    <col min="19" max="19" width="4.42578125" style="9" customWidth="1"/>
    <col min="20" max="20" width="24" style="9" bestFit="1" customWidth="1"/>
    <col min="21" max="21" width="12.5703125" style="9" bestFit="1" customWidth="1"/>
    <col min="22" max="22" width="15" style="9" bestFit="1" customWidth="1"/>
    <col min="23" max="23" width="4.42578125" style="9" customWidth="1"/>
    <col min="24" max="24" width="24" style="9" bestFit="1" customWidth="1"/>
    <col min="25" max="25" width="12.5703125" style="9" bestFit="1" customWidth="1"/>
    <col min="26" max="26" width="15" style="9" bestFit="1" customWidth="1"/>
    <col min="27" max="27" width="4.42578125" style="9" customWidth="1"/>
    <col min="28" max="28" width="13.140625" style="9" bestFit="1" customWidth="1"/>
    <col min="29" max="29" width="8.7109375" style="9" bestFit="1" customWidth="1"/>
    <col min="30" max="30" width="4.28515625" style="9" bestFit="1" customWidth="1"/>
    <col min="31" max="16384" width="9.140625" style="9"/>
  </cols>
  <sheetData>
    <row r="2" spans="8:30" s="18" customFormat="1">
      <c r="H2" s="93" t="s">
        <v>18</v>
      </c>
      <c r="I2" s="94"/>
      <c r="J2" s="95"/>
      <c r="L2" s="93" t="s">
        <v>19</v>
      </c>
      <c r="M2" s="94"/>
      <c r="N2" s="95"/>
      <c r="P2" s="93" t="s">
        <v>20</v>
      </c>
      <c r="Q2" s="94"/>
      <c r="R2" s="95"/>
      <c r="T2" s="93" t="s">
        <v>21</v>
      </c>
      <c r="U2" s="94"/>
      <c r="V2" s="95"/>
      <c r="X2" s="93" t="s">
        <v>22</v>
      </c>
      <c r="Y2" s="94"/>
      <c r="Z2" s="95"/>
      <c r="AB2" s="10" t="s">
        <v>23</v>
      </c>
      <c r="AC2" s="28">
        <v>0.2</v>
      </c>
      <c r="AD2" s="12" t="s">
        <v>24</v>
      </c>
    </row>
    <row r="3" spans="8:30">
      <c r="H3" s="10" t="s">
        <v>25</v>
      </c>
      <c r="I3" s="10"/>
      <c r="J3" s="10"/>
      <c r="L3" s="10" t="s">
        <v>25</v>
      </c>
      <c r="M3" s="10"/>
      <c r="N3" s="10"/>
      <c r="P3" s="10" t="s">
        <v>25</v>
      </c>
      <c r="Q3" s="10"/>
      <c r="R3" s="10"/>
      <c r="T3" s="10" t="s">
        <v>25</v>
      </c>
      <c r="U3" s="10"/>
      <c r="V3" s="10"/>
      <c r="X3" s="10" t="s">
        <v>25</v>
      </c>
      <c r="Y3" s="10"/>
      <c r="Z3" s="10"/>
      <c r="AB3" s="10" t="s">
        <v>26</v>
      </c>
      <c r="AC3" s="28">
        <f>RATE(12,,-1,1.15)</f>
        <v>1.1714916919856577E-2</v>
      </c>
      <c r="AD3" s="12" t="s">
        <v>27</v>
      </c>
    </row>
    <row r="4" spans="8:30">
      <c r="H4" s="13" t="s">
        <v>6</v>
      </c>
      <c r="I4" s="13" t="s">
        <v>7</v>
      </c>
      <c r="J4" s="13" t="s">
        <v>8</v>
      </c>
      <c r="L4" s="13" t="s">
        <v>6</v>
      </c>
      <c r="M4" s="13" t="s">
        <v>7</v>
      </c>
      <c r="N4" s="13" t="s">
        <v>8</v>
      </c>
      <c r="P4" s="13" t="s">
        <v>6</v>
      </c>
      <c r="Q4" s="13" t="s">
        <v>7</v>
      </c>
      <c r="R4" s="13" t="s">
        <v>8</v>
      </c>
      <c r="T4" s="13" t="s">
        <v>6</v>
      </c>
      <c r="U4" s="13" t="s">
        <v>7</v>
      </c>
      <c r="V4" s="13" t="s">
        <v>8</v>
      </c>
      <c r="X4" s="13" t="s">
        <v>6</v>
      </c>
      <c r="Y4" s="13" t="s">
        <v>7</v>
      </c>
      <c r="Z4" s="13" t="s">
        <v>8</v>
      </c>
    </row>
    <row r="5" spans="8:30">
      <c r="H5" s="11" t="s">
        <v>28</v>
      </c>
      <c r="I5" s="11">
        <v>3</v>
      </c>
      <c r="J5" s="14">
        <f>1000</f>
        <v>1000</v>
      </c>
      <c r="L5" s="11" t="s">
        <v>28</v>
      </c>
      <c r="M5" s="11">
        <v>3</v>
      </c>
      <c r="N5" s="14">
        <f>1000</f>
        <v>1000</v>
      </c>
      <c r="P5" s="11" t="s">
        <v>28</v>
      </c>
      <c r="Q5" s="11">
        <v>4</v>
      </c>
      <c r="R5" s="14">
        <f>1000</f>
        <v>1000</v>
      </c>
      <c r="T5" s="11" t="s">
        <v>28</v>
      </c>
      <c r="U5" s="11">
        <v>4</v>
      </c>
      <c r="V5" s="14">
        <f>1000</f>
        <v>1000</v>
      </c>
      <c r="X5" s="11" t="s">
        <v>28</v>
      </c>
      <c r="Y5" s="11">
        <v>4</v>
      </c>
      <c r="Z5" s="14">
        <f>1000</f>
        <v>1000</v>
      </c>
    </row>
    <row r="6" spans="8:30">
      <c r="H6" s="12" t="s">
        <v>17</v>
      </c>
      <c r="I6" s="12"/>
      <c r="J6" s="15">
        <f>J5*I5</f>
        <v>3000</v>
      </c>
      <c r="L6" s="12" t="s">
        <v>17</v>
      </c>
      <c r="M6" s="12"/>
      <c r="N6" s="15">
        <f>N5*M5</f>
        <v>3000</v>
      </c>
      <c r="P6" s="12" t="s">
        <v>17</v>
      </c>
      <c r="Q6" s="12"/>
      <c r="R6" s="15">
        <f>Q5*R5</f>
        <v>4000</v>
      </c>
      <c r="T6" s="12" t="s">
        <v>17</v>
      </c>
      <c r="U6" s="12"/>
      <c r="V6" s="15">
        <f>V5*U5</f>
        <v>4000</v>
      </c>
      <c r="X6" s="12" t="s">
        <v>17</v>
      </c>
      <c r="Y6" s="12"/>
      <c r="Z6" s="15">
        <f>Z5*Y5</f>
        <v>4000</v>
      </c>
    </row>
    <row r="8" spans="8:30">
      <c r="H8" s="10" t="s">
        <v>29</v>
      </c>
      <c r="I8" s="10"/>
      <c r="J8" s="10"/>
      <c r="L8" s="10" t="s">
        <v>29</v>
      </c>
      <c r="M8" s="10"/>
      <c r="N8" s="10"/>
      <c r="P8" s="10" t="s">
        <v>29</v>
      </c>
      <c r="Q8" s="10"/>
      <c r="R8" s="10"/>
      <c r="T8" s="10" t="s">
        <v>29</v>
      </c>
      <c r="U8" s="10"/>
      <c r="V8" s="10"/>
      <c r="X8" s="10" t="s">
        <v>29</v>
      </c>
      <c r="Y8" s="10"/>
      <c r="Z8" s="10"/>
    </row>
    <row r="9" spans="8:30">
      <c r="H9" s="13" t="s">
        <v>6</v>
      </c>
      <c r="I9" s="13" t="s">
        <v>7</v>
      </c>
      <c r="J9" s="13" t="s">
        <v>8</v>
      </c>
      <c r="L9" s="13" t="s">
        <v>6</v>
      </c>
      <c r="M9" s="13" t="s">
        <v>7</v>
      </c>
      <c r="N9" s="13" t="s">
        <v>8</v>
      </c>
      <c r="P9" s="13" t="s">
        <v>6</v>
      </c>
      <c r="Q9" s="13" t="s">
        <v>7</v>
      </c>
      <c r="R9" s="13" t="s">
        <v>8</v>
      </c>
      <c r="T9" s="13" t="s">
        <v>6</v>
      </c>
      <c r="U9" s="13" t="s">
        <v>7</v>
      </c>
      <c r="V9" s="13" t="s">
        <v>8</v>
      </c>
      <c r="X9" s="13" t="s">
        <v>6</v>
      </c>
      <c r="Y9" s="13" t="s">
        <v>7</v>
      </c>
      <c r="Z9" s="13" t="s">
        <v>8</v>
      </c>
    </row>
    <row r="10" spans="8:30">
      <c r="H10" s="11" t="s">
        <v>14</v>
      </c>
      <c r="I10" s="11">
        <v>1</v>
      </c>
      <c r="J10" s="14">
        <v>500</v>
      </c>
      <c r="L10" s="11" t="s">
        <v>14</v>
      </c>
      <c r="M10" s="11">
        <v>1</v>
      </c>
      <c r="N10" s="14">
        <v>500</v>
      </c>
      <c r="P10" s="11" t="s">
        <v>14</v>
      </c>
      <c r="Q10" s="11">
        <v>1</v>
      </c>
      <c r="R10" s="14">
        <v>500</v>
      </c>
      <c r="T10" s="11" t="s">
        <v>14</v>
      </c>
      <c r="U10" s="11">
        <v>1</v>
      </c>
      <c r="V10" s="14">
        <v>500</v>
      </c>
      <c r="X10" s="11" t="s">
        <v>14</v>
      </c>
      <c r="Y10" s="11">
        <v>1</v>
      </c>
      <c r="Z10" s="14">
        <v>500</v>
      </c>
    </row>
    <row r="11" spans="8:30">
      <c r="H11" s="11" t="s">
        <v>30</v>
      </c>
      <c r="I11" s="11">
        <v>1</v>
      </c>
      <c r="J11" s="14">
        <v>500</v>
      </c>
      <c r="L11" s="11" t="s">
        <v>30</v>
      </c>
      <c r="M11" s="11">
        <v>1</v>
      </c>
      <c r="N11" s="14">
        <v>500</v>
      </c>
      <c r="P11" s="11" t="s">
        <v>30</v>
      </c>
      <c r="Q11" s="11">
        <v>1</v>
      </c>
      <c r="R11" s="14">
        <v>500</v>
      </c>
      <c r="T11" s="11" t="s">
        <v>30</v>
      </c>
      <c r="U11" s="11">
        <v>1</v>
      </c>
      <c r="V11" s="14">
        <v>500</v>
      </c>
      <c r="X11" s="11" t="s">
        <v>30</v>
      </c>
      <c r="Y11" s="11">
        <v>1</v>
      </c>
      <c r="Z11" s="14">
        <v>500</v>
      </c>
    </row>
    <row r="12" spans="8:30">
      <c r="H12" s="11" t="s">
        <v>16</v>
      </c>
      <c r="I12" s="11">
        <v>1</v>
      </c>
      <c r="J12" s="14">
        <v>112</v>
      </c>
      <c r="L12" s="11" t="s">
        <v>16</v>
      </c>
      <c r="M12" s="11">
        <v>1</v>
      </c>
      <c r="N12" s="14">
        <v>112</v>
      </c>
      <c r="P12" s="11" t="s">
        <v>16</v>
      </c>
      <c r="Q12" s="11">
        <v>1</v>
      </c>
      <c r="R12" s="14">
        <v>112</v>
      </c>
      <c r="T12" s="11" t="s">
        <v>16</v>
      </c>
      <c r="U12" s="11">
        <v>1</v>
      </c>
      <c r="V12" s="14">
        <v>112</v>
      </c>
      <c r="X12" s="11" t="s">
        <v>16</v>
      </c>
      <c r="Y12" s="11">
        <v>1</v>
      </c>
      <c r="Z12" s="14">
        <v>112</v>
      </c>
    </row>
    <row r="13" spans="8:30">
      <c r="H13" s="11" t="s">
        <v>31</v>
      </c>
      <c r="I13" s="11">
        <v>1</v>
      </c>
      <c r="J13" s="14">
        <v>12.49</v>
      </c>
      <c r="L13" s="11" t="s">
        <v>31</v>
      </c>
      <c r="M13" s="11">
        <v>1</v>
      </c>
      <c r="N13" s="14">
        <v>12.49</v>
      </c>
      <c r="P13" s="11" t="s">
        <v>31</v>
      </c>
      <c r="Q13" s="11">
        <v>1</v>
      </c>
      <c r="R13" s="14">
        <v>12.49</v>
      </c>
      <c r="T13" s="11" t="s">
        <v>31</v>
      </c>
      <c r="U13" s="11">
        <v>1</v>
      </c>
      <c r="V13" s="14">
        <v>12.49</v>
      </c>
      <c r="X13" s="11" t="s">
        <v>31</v>
      </c>
      <c r="Y13" s="11">
        <v>1</v>
      </c>
      <c r="Z13" s="14">
        <v>12.49</v>
      </c>
    </row>
    <row r="14" spans="8:30">
      <c r="H14" s="11" t="s">
        <v>32</v>
      </c>
      <c r="I14" s="11">
        <v>1</v>
      </c>
      <c r="J14" s="14">
        <v>2000</v>
      </c>
      <c r="L14" s="11" t="s">
        <v>32</v>
      </c>
      <c r="M14" s="11">
        <v>1</v>
      </c>
      <c r="N14" s="14">
        <v>3500</v>
      </c>
      <c r="P14" s="11" t="s">
        <v>32</v>
      </c>
      <c r="Q14" s="11">
        <v>1</v>
      </c>
      <c r="R14" s="14">
        <v>3500</v>
      </c>
      <c r="T14" s="11" t="s">
        <v>32</v>
      </c>
      <c r="U14" s="11">
        <v>1</v>
      </c>
      <c r="V14" s="14">
        <v>3500</v>
      </c>
      <c r="X14" s="11" t="s">
        <v>32</v>
      </c>
      <c r="Y14" s="11">
        <v>1</v>
      </c>
      <c r="Z14" s="14">
        <v>3500</v>
      </c>
    </row>
    <row r="15" spans="8:30">
      <c r="H15" s="12" t="s">
        <v>17</v>
      </c>
      <c r="I15" s="12"/>
      <c r="J15" s="15">
        <f>SUM(J10:J14)</f>
        <v>3124.49</v>
      </c>
      <c r="L15" s="12" t="s">
        <v>17</v>
      </c>
      <c r="M15" s="12"/>
      <c r="N15" s="15">
        <f>SUM(N10:N14)</f>
        <v>4624.49</v>
      </c>
      <c r="P15" s="12" t="s">
        <v>17</v>
      </c>
      <c r="Q15" s="12"/>
      <c r="R15" s="15">
        <f>SUM(R10:R14)</f>
        <v>4624.49</v>
      </c>
      <c r="T15" s="12" t="s">
        <v>17</v>
      </c>
      <c r="U15" s="12"/>
      <c r="V15" s="15">
        <f>SUM(V10:V14)</f>
        <v>4624.49</v>
      </c>
      <c r="X15" s="12" t="s">
        <v>17</v>
      </c>
      <c r="Y15" s="12"/>
      <c r="Z15" s="15">
        <f>SUM(Z10:Z14)</f>
        <v>4624.49</v>
      </c>
    </row>
    <row r="16" spans="8:30">
      <c r="J16" s="27"/>
      <c r="N16" s="27"/>
      <c r="R16" s="27"/>
      <c r="V16" s="27"/>
      <c r="Z16" s="27"/>
    </row>
    <row r="17" spans="8:26">
      <c r="H17" s="10" t="s">
        <v>33</v>
      </c>
      <c r="I17" s="10"/>
      <c r="J17" s="10"/>
      <c r="L17" s="10" t="s">
        <v>33</v>
      </c>
      <c r="M17" s="10"/>
      <c r="N17" s="10"/>
      <c r="P17" s="10" t="s">
        <v>33</v>
      </c>
      <c r="Q17" s="10"/>
      <c r="R17" s="10"/>
      <c r="T17" s="10" t="s">
        <v>33</v>
      </c>
      <c r="U17" s="10"/>
      <c r="V17" s="10"/>
      <c r="X17" s="10" t="s">
        <v>33</v>
      </c>
      <c r="Y17" s="10"/>
      <c r="Z17" s="10"/>
    </row>
    <row r="18" spans="8:26">
      <c r="H18" s="13" t="s">
        <v>34</v>
      </c>
      <c r="I18" s="13"/>
      <c r="J18" s="13" t="s">
        <v>8</v>
      </c>
      <c r="L18" s="13" t="s">
        <v>34</v>
      </c>
      <c r="M18" s="13"/>
      <c r="N18" s="13" t="s">
        <v>8</v>
      </c>
      <c r="P18" s="13" t="s">
        <v>34</v>
      </c>
      <c r="Q18" s="13" t="s">
        <v>35</v>
      </c>
      <c r="R18" s="13" t="s">
        <v>8</v>
      </c>
      <c r="T18" s="13" t="s">
        <v>34</v>
      </c>
      <c r="U18" s="13" t="s">
        <v>35</v>
      </c>
      <c r="V18" s="13" t="s">
        <v>8</v>
      </c>
      <c r="X18" s="13" t="s">
        <v>34</v>
      </c>
      <c r="Y18" s="13" t="s">
        <v>35</v>
      </c>
      <c r="Z18" s="13" t="s">
        <v>8</v>
      </c>
    </row>
    <row r="19" spans="8:26">
      <c r="H19" s="11" t="s">
        <v>36</v>
      </c>
      <c r="I19" s="14"/>
      <c r="J19" s="14">
        <v>5000</v>
      </c>
      <c r="L19" s="11" t="s">
        <v>36</v>
      </c>
      <c r="M19" s="14"/>
      <c r="N19" s="14">
        <v>5000</v>
      </c>
      <c r="P19" s="11" t="s">
        <v>36</v>
      </c>
      <c r="Q19" s="14"/>
      <c r="R19" s="14">
        <v>5000</v>
      </c>
      <c r="T19" s="11" t="s">
        <v>36</v>
      </c>
      <c r="U19" s="14"/>
      <c r="V19" s="14">
        <v>5000</v>
      </c>
      <c r="X19" s="11" t="s">
        <v>36</v>
      </c>
      <c r="Y19" s="14"/>
      <c r="Z19" s="14">
        <v>5000</v>
      </c>
    </row>
    <row r="20" spans="8:26">
      <c r="H20" s="11" t="s">
        <v>37</v>
      </c>
      <c r="I20" s="14"/>
      <c r="J20" s="14">
        <v>5000</v>
      </c>
      <c r="L20" s="11" t="s">
        <v>37</v>
      </c>
      <c r="M20" s="14"/>
      <c r="N20" s="14">
        <v>5000</v>
      </c>
      <c r="P20" s="11" t="s">
        <v>37</v>
      </c>
      <c r="Q20" s="14"/>
      <c r="R20" s="14">
        <v>5000</v>
      </c>
      <c r="T20" s="11" t="s">
        <v>37</v>
      </c>
      <c r="U20" s="14"/>
      <c r="V20" s="14">
        <v>5000</v>
      </c>
      <c r="X20" s="11" t="s">
        <v>37</v>
      </c>
      <c r="Y20" s="14"/>
      <c r="Z20" s="14">
        <v>5000</v>
      </c>
    </row>
    <row r="21" spans="8:26">
      <c r="H21" s="11" t="s">
        <v>38</v>
      </c>
      <c r="I21" s="14"/>
      <c r="J21" s="14">
        <v>5000</v>
      </c>
      <c r="L21" s="11" t="s">
        <v>38</v>
      </c>
      <c r="M21" s="14"/>
      <c r="N21" s="14">
        <v>5000</v>
      </c>
      <c r="P21" s="11" t="s">
        <v>38</v>
      </c>
      <c r="Q21" s="14"/>
      <c r="R21" s="14">
        <v>5000</v>
      </c>
      <c r="T21" s="11" t="s">
        <v>38</v>
      </c>
      <c r="U21" s="14"/>
      <c r="V21" s="14">
        <v>5000</v>
      </c>
      <c r="X21" s="11" t="s">
        <v>38</v>
      </c>
      <c r="Y21" s="14"/>
      <c r="Z21" s="14">
        <v>5000</v>
      </c>
    </row>
    <row r="22" spans="8:26">
      <c r="H22" s="12" t="s">
        <v>17</v>
      </c>
      <c r="I22" s="15"/>
      <c r="J22" s="15">
        <f>SUM(J19:J21)</f>
        <v>15000</v>
      </c>
      <c r="L22" s="12" t="s">
        <v>17</v>
      </c>
      <c r="M22" s="15"/>
      <c r="N22" s="15">
        <f>SUM(N19:N21)</f>
        <v>15000</v>
      </c>
      <c r="P22" s="30" t="s">
        <v>39</v>
      </c>
      <c r="Q22" s="33">
        <v>500</v>
      </c>
      <c r="R22" s="33">
        <v>3000</v>
      </c>
      <c r="T22" s="30" t="s">
        <v>39</v>
      </c>
      <c r="U22" s="33">
        <v>850</v>
      </c>
      <c r="V22" s="33">
        <v>3000</v>
      </c>
      <c r="X22" s="30" t="s">
        <v>39</v>
      </c>
      <c r="Y22" s="33">
        <v>850</v>
      </c>
      <c r="Z22" s="33">
        <v>4000</v>
      </c>
    </row>
    <row r="23" spans="8:26">
      <c r="P23" s="29" t="s">
        <v>40</v>
      </c>
      <c r="Q23" s="36">
        <v>500</v>
      </c>
      <c r="R23" s="14">
        <v>3000</v>
      </c>
      <c r="T23" s="11" t="s">
        <v>40</v>
      </c>
      <c r="U23" s="14">
        <v>850</v>
      </c>
      <c r="V23" s="14">
        <v>3000</v>
      </c>
      <c r="X23" s="11" t="s">
        <v>40</v>
      </c>
      <c r="Y23" s="14">
        <v>850</v>
      </c>
      <c r="Z23" s="14">
        <v>4000</v>
      </c>
    </row>
    <row r="24" spans="8:26">
      <c r="H24" s="10" t="s">
        <v>41</v>
      </c>
      <c r="I24" s="10"/>
      <c r="J24" s="10"/>
      <c r="L24" s="10" t="s">
        <v>41</v>
      </c>
      <c r="M24" s="10"/>
      <c r="N24" s="10"/>
      <c r="P24" s="34" t="s">
        <v>17</v>
      </c>
      <c r="Q24" s="35">
        <f>SUM(Q19:Q22)</f>
        <v>500</v>
      </c>
      <c r="R24" s="35">
        <f>SUM(R19:R23)</f>
        <v>21000</v>
      </c>
      <c r="T24" s="34" t="s">
        <v>17</v>
      </c>
      <c r="U24" s="35">
        <f>SUM(U19:U22)</f>
        <v>850</v>
      </c>
      <c r="V24" s="35">
        <f>SUM(V19:V23)</f>
        <v>21000</v>
      </c>
      <c r="X24" s="34" t="s">
        <v>17</v>
      </c>
      <c r="Y24" s="35">
        <f>SUM(Y19:Y22)</f>
        <v>850</v>
      </c>
      <c r="Z24" s="35">
        <f>SUM(Z19:Z23)</f>
        <v>23000</v>
      </c>
    </row>
    <row r="25" spans="8:26">
      <c r="H25" s="13" t="s">
        <v>6</v>
      </c>
      <c r="I25" s="13"/>
      <c r="J25" s="13" t="s">
        <v>8</v>
      </c>
      <c r="L25" s="13" t="s">
        <v>6</v>
      </c>
      <c r="M25" s="13"/>
      <c r="N25" s="13" t="s">
        <v>8</v>
      </c>
    </row>
    <row r="26" spans="8:26">
      <c r="H26" s="11" t="s">
        <v>42</v>
      </c>
      <c r="I26" s="11"/>
      <c r="J26" s="14">
        <f>SUM(J6,J15,I22,J22)</f>
        <v>21124.489999999998</v>
      </c>
      <c r="L26" s="11" t="s">
        <v>42</v>
      </c>
      <c r="M26" s="11"/>
      <c r="N26" s="14">
        <f>SUM(N6,N15,M22,N22)</f>
        <v>22624.489999999998</v>
      </c>
      <c r="P26" s="10" t="s">
        <v>41</v>
      </c>
      <c r="Q26" s="10"/>
      <c r="R26" s="10"/>
      <c r="T26" s="10" t="s">
        <v>41</v>
      </c>
      <c r="U26" s="10"/>
      <c r="V26" s="10"/>
      <c r="X26" s="10" t="s">
        <v>41</v>
      </c>
      <c r="Y26" s="10"/>
      <c r="Z26" s="10"/>
    </row>
    <row r="27" spans="8:26">
      <c r="J27" s="27"/>
      <c r="N27" s="27"/>
      <c r="P27" s="13" t="s">
        <v>6</v>
      </c>
      <c r="Q27" s="13"/>
      <c r="R27" s="37" t="s">
        <v>8</v>
      </c>
      <c r="T27" s="13" t="s">
        <v>6</v>
      </c>
      <c r="U27" s="13"/>
      <c r="V27" s="13" t="s">
        <v>8</v>
      </c>
      <c r="X27" s="13" t="s">
        <v>6</v>
      </c>
      <c r="Y27" s="13"/>
      <c r="Z27" s="13" t="s">
        <v>8</v>
      </c>
    </row>
    <row r="28" spans="8:26">
      <c r="H28" s="10" t="s">
        <v>43</v>
      </c>
      <c r="I28" s="10"/>
      <c r="J28" s="16"/>
      <c r="L28" s="10" t="s">
        <v>43</v>
      </c>
      <c r="M28" s="10"/>
      <c r="N28" s="16"/>
      <c r="P28" s="11" t="s">
        <v>42</v>
      </c>
      <c r="Q28" s="29"/>
      <c r="R28" s="14">
        <f>SUM(R6,R15,Q24,R24)</f>
        <v>30124.489999999998</v>
      </c>
      <c r="T28" s="11" t="s">
        <v>42</v>
      </c>
      <c r="U28" s="11"/>
      <c r="V28" s="14">
        <f>SUM(V6,V15,U24,V24)</f>
        <v>30474.489999999998</v>
      </c>
      <c r="X28" s="11" t="s">
        <v>42</v>
      </c>
      <c r="Y28" s="11"/>
      <c r="Z28" s="14">
        <f>SUM(Z6,Z15,Y24,Z24)</f>
        <v>32474.489999999998</v>
      </c>
    </row>
    <row r="29" spans="8:26">
      <c r="H29" s="11">
        <v>1</v>
      </c>
      <c r="I29" s="29"/>
      <c r="J29" s="14">
        <f>SUM($J$26)-$J$12-$J$14</f>
        <v>19012.489999999998</v>
      </c>
      <c r="L29" s="11">
        <v>1</v>
      </c>
      <c r="M29" s="29"/>
      <c r="N29" s="14">
        <f>N26</f>
        <v>22624.489999999998</v>
      </c>
      <c r="R29" s="27"/>
      <c r="V29" s="27"/>
      <c r="Z29" s="27"/>
    </row>
    <row r="30" spans="8:26">
      <c r="H30" s="11">
        <v>2</v>
      </c>
      <c r="I30" s="29"/>
      <c r="J30" s="14">
        <f>SUM($J$26)-$J$12-$J$14</f>
        <v>19012.489999999998</v>
      </c>
      <c r="L30" s="11">
        <v>2</v>
      </c>
      <c r="M30" s="29"/>
      <c r="N30" s="14">
        <f>SUM($N$26)-$J$12</f>
        <v>22512.489999999998</v>
      </c>
      <c r="P30" s="10" t="s">
        <v>43</v>
      </c>
      <c r="Q30" s="10"/>
      <c r="R30" s="16"/>
      <c r="T30" s="10" t="s">
        <v>43</v>
      </c>
      <c r="U30" s="10"/>
      <c r="V30" s="16"/>
      <c r="X30" s="10" t="s">
        <v>43</v>
      </c>
      <c r="Y30" s="10"/>
      <c r="Z30" s="16"/>
    </row>
    <row r="31" spans="8:26">
      <c r="H31" s="11">
        <v>3</v>
      </c>
      <c r="I31" s="11"/>
      <c r="J31" s="14">
        <f t="shared" ref="J31:J32" si="0">SUM($J$26)-$J$12-$J$14</f>
        <v>19012.489999999998</v>
      </c>
      <c r="L31" s="11">
        <v>3</v>
      </c>
      <c r="M31" s="11"/>
      <c r="N31" s="14">
        <f t="shared" ref="N31:N40" si="1">SUM($N$26)-$J$12</f>
        <v>22512.489999999998</v>
      </c>
      <c r="P31" s="11">
        <v>1</v>
      </c>
      <c r="Q31" s="29"/>
      <c r="R31" s="14">
        <f>R28</f>
        <v>30124.489999999998</v>
      </c>
      <c r="T31" s="11">
        <v>1</v>
      </c>
      <c r="U31" s="29"/>
      <c r="V31" s="14">
        <f>V28</f>
        <v>30474.489999999998</v>
      </c>
      <c r="X31" s="11">
        <v>1</v>
      </c>
      <c r="Y31" s="29"/>
      <c r="Z31" s="14">
        <f>Z28</f>
        <v>32474.489999999998</v>
      </c>
    </row>
    <row r="32" spans="8:26">
      <c r="H32" s="11">
        <v>4</v>
      </c>
      <c r="I32" s="11"/>
      <c r="J32" s="14">
        <f t="shared" si="0"/>
        <v>19012.489999999998</v>
      </c>
      <c r="L32" s="11">
        <v>4</v>
      </c>
      <c r="M32" s="11"/>
      <c r="N32" s="14">
        <f t="shared" si="1"/>
        <v>22512.489999999998</v>
      </c>
      <c r="P32" s="11">
        <v>2</v>
      </c>
      <c r="Q32" s="29"/>
      <c r="R32" s="14">
        <f t="shared" ref="R32:R42" si="2">SUM($R$28)-$J$12</f>
        <v>30012.489999999998</v>
      </c>
      <c r="T32" s="11">
        <v>2</v>
      </c>
      <c r="U32" s="29"/>
      <c r="V32" s="14">
        <f t="shared" ref="V32:V42" si="3">SUM($V$28)-$J$12</f>
        <v>30362.489999999998</v>
      </c>
      <c r="X32" s="11">
        <v>2</v>
      </c>
      <c r="Y32" s="29"/>
      <c r="Z32" s="14">
        <f>SUM($Z$28)-$J$12</f>
        <v>32362.489999999998</v>
      </c>
    </row>
    <row r="33" spans="8:26">
      <c r="H33" s="11">
        <v>5</v>
      </c>
      <c r="I33" s="11"/>
      <c r="J33" s="14">
        <f>SUM($J$26)-$J$12-$J$14</f>
        <v>19012.489999999998</v>
      </c>
      <c r="L33" s="11">
        <v>5</v>
      </c>
      <c r="M33" s="11"/>
      <c r="N33" s="14">
        <f t="shared" si="1"/>
        <v>22512.489999999998</v>
      </c>
      <c r="P33" s="11">
        <v>3</v>
      </c>
      <c r="Q33" s="11"/>
      <c r="R33" s="14">
        <f t="shared" si="2"/>
        <v>30012.489999999998</v>
      </c>
      <c r="T33" s="11">
        <v>3</v>
      </c>
      <c r="U33" s="11"/>
      <c r="V33" s="14">
        <f t="shared" si="3"/>
        <v>30362.489999999998</v>
      </c>
      <c r="X33" s="11">
        <v>3</v>
      </c>
      <c r="Y33" s="11"/>
      <c r="Z33" s="14">
        <f t="shared" ref="Z33:Z42" si="4">SUM($Z$28)-$J$12</f>
        <v>32362.489999999998</v>
      </c>
    </row>
    <row r="34" spans="8:26">
      <c r="H34" s="11">
        <v>6</v>
      </c>
      <c r="I34" s="11"/>
      <c r="J34" s="14">
        <f>SUM($J$26)-$J$12</f>
        <v>21012.489999999998</v>
      </c>
      <c r="L34" s="11">
        <v>6</v>
      </c>
      <c r="M34" s="11"/>
      <c r="N34" s="14">
        <f t="shared" si="1"/>
        <v>22512.489999999998</v>
      </c>
      <c r="P34" s="11">
        <v>4</v>
      </c>
      <c r="Q34" s="11"/>
      <c r="R34" s="14">
        <f t="shared" si="2"/>
        <v>30012.489999999998</v>
      </c>
      <c r="T34" s="11">
        <v>4</v>
      </c>
      <c r="U34" s="11"/>
      <c r="V34" s="14">
        <f t="shared" si="3"/>
        <v>30362.489999999998</v>
      </c>
      <c r="X34" s="11">
        <v>4</v>
      </c>
      <c r="Y34" s="11"/>
      <c r="Z34" s="14">
        <f t="shared" si="4"/>
        <v>32362.489999999998</v>
      </c>
    </row>
    <row r="35" spans="8:26">
      <c r="H35" s="11">
        <v>7</v>
      </c>
      <c r="I35" s="11"/>
      <c r="J35" s="14">
        <f t="shared" ref="J35:J40" si="5">SUM($J$26)-$J$12</f>
        <v>21012.489999999998</v>
      </c>
      <c r="L35" s="11">
        <v>7</v>
      </c>
      <c r="M35" s="11"/>
      <c r="N35" s="14">
        <f t="shared" si="1"/>
        <v>22512.489999999998</v>
      </c>
      <c r="P35" s="11">
        <v>5</v>
      </c>
      <c r="Q35" s="11"/>
      <c r="R35" s="14">
        <f t="shared" si="2"/>
        <v>30012.489999999998</v>
      </c>
      <c r="T35" s="11">
        <v>5</v>
      </c>
      <c r="U35" s="11"/>
      <c r="V35" s="14">
        <f t="shared" si="3"/>
        <v>30362.489999999998</v>
      </c>
      <c r="X35" s="11">
        <v>5</v>
      </c>
      <c r="Y35" s="11"/>
      <c r="Z35" s="14">
        <f t="shared" si="4"/>
        <v>32362.489999999998</v>
      </c>
    </row>
    <row r="36" spans="8:26">
      <c r="H36" s="11">
        <v>8</v>
      </c>
      <c r="I36" s="11"/>
      <c r="J36" s="14">
        <f t="shared" si="5"/>
        <v>21012.489999999998</v>
      </c>
      <c r="L36" s="11">
        <v>8</v>
      </c>
      <c r="M36" s="11"/>
      <c r="N36" s="14">
        <f t="shared" si="1"/>
        <v>22512.489999999998</v>
      </c>
      <c r="P36" s="11">
        <v>6</v>
      </c>
      <c r="Q36" s="11"/>
      <c r="R36" s="14">
        <f t="shared" si="2"/>
        <v>30012.489999999998</v>
      </c>
      <c r="T36" s="11">
        <v>6</v>
      </c>
      <c r="U36" s="11"/>
      <c r="V36" s="14">
        <f t="shared" si="3"/>
        <v>30362.489999999998</v>
      </c>
      <c r="X36" s="11">
        <v>6</v>
      </c>
      <c r="Y36" s="11"/>
      <c r="Z36" s="14">
        <f t="shared" si="4"/>
        <v>32362.489999999998</v>
      </c>
    </row>
    <row r="37" spans="8:26">
      <c r="H37" s="11">
        <v>9</v>
      </c>
      <c r="I37" s="11"/>
      <c r="J37" s="14">
        <f t="shared" si="5"/>
        <v>21012.489999999998</v>
      </c>
      <c r="L37" s="11">
        <v>9</v>
      </c>
      <c r="M37" s="11"/>
      <c r="N37" s="14">
        <f t="shared" si="1"/>
        <v>22512.489999999998</v>
      </c>
      <c r="P37" s="11">
        <v>7</v>
      </c>
      <c r="Q37" s="11"/>
      <c r="R37" s="14">
        <f t="shared" si="2"/>
        <v>30012.489999999998</v>
      </c>
      <c r="T37" s="11">
        <v>7</v>
      </c>
      <c r="U37" s="11"/>
      <c r="V37" s="14">
        <f t="shared" si="3"/>
        <v>30362.489999999998</v>
      </c>
      <c r="X37" s="11">
        <v>7</v>
      </c>
      <c r="Y37" s="11"/>
      <c r="Z37" s="14">
        <f t="shared" si="4"/>
        <v>32362.489999999998</v>
      </c>
    </row>
    <row r="38" spans="8:26">
      <c r="H38" s="11">
        <v>10</v>
      </c>
      <c r="I38" s="11"/>
      <c r="J38" s="14">
        <f t="shared" si="5"/>
        <v>21012.489999999998</v>
      </c>
      <c r="L38" s="11">
        <v>10</v>
      </c>
      <c r="M38" s="11"/>
      <c r="N38" s="14">
        <f t="shared" si="1"/>
        <v>22512.489999999998</v>
      </c>
      <c r="P38" s="11">
        <v>8</v>
      </c>
      <c r="Q38" s="11"/>
      <c r="R38" s="14">
        <f t="shared" si="2"/>
        <v>30012.489999999998</v>
      </c>
      <c r="T38" s="11">
        <v>8</v>
      </c>
      <c r="U38" s="11"/>
      <c r="V38" s="14">
        <f t="shared" si="3"/>
        <v>30362.489999999998</v>
      </c>
      <c r="X38" s="11">
        <v>8</v>
      </c>
      <c r="Y38" s="11"/>
      <c r="Z38" s="14">
        <f t="shared" si="4"/>
        <v>32362.489999999998</v>
      </c>
    </row>
    <row r="39" spans="8:26">
      <c r="H39" s="11">
        <v>11</v>
      </c>
      <c r="I39" s="11"/>
      <c r="J39" s="14">
        <f t="shared" si="5"/>
        <v>21012.489999999998</v>
      </c>
      <c r="L39" s="11">
        <v>11</v>
      </c>
      <c r="M39" s="11"/>
      <c r="N39" s="14">
        <f t="shared" si="1"/>
        <v>22512.489999999998</v>
      </c>
      <c r="P39" s="11">
        <v>9</v>
      </c>
      <c r="Q39" s="11"/>
      <c r="R39" s="14">
        <f t="shared" si="2"/>
        <v>30012.489999999998</v>
      </c>
      <c r="T39" s="11">
        <v>9</v>
      </c>
      <c r="U39" s="11"/>
      <c r="V39" s="14">
        <f t="shared" si="3"/>
        <v>30362.489999999998</v>
      </c>
      <c r="X39" s="11">
        <v>9</v>
      </c>
      <c r="Y39" s="11"/>
      <c r="Z39" s="14">
        <f t="shared" si="4"/>
        <v>32362.489999999998</v>
      </c>
    </row>
    <row r="40" spans="8:26">
      <c r="H40" s="11">
        <v>12</v>
      </c>
      <c r="I40" s="11"/>
      <c r="J40" s="14">
        <f t="shared" si="5"/>
        <v>21012.489999999998</v>
      </c>
      <c r="L40" s="11">
        <v>12</v>
      </c>
      <c r="M40" s="11"/>
      <c r="N40" s="14">
        <f t="shared" si="1"/>
        <v>22512.489999999998</v>
      </c>
      <c r="P40" s="11">
        <v>10</v>
      </c>
      <c r="Q40" s="11"/>
      <c r="R40" s="14">
        <f t="shared" si="2"/>
        <v>30012.489999999998</v>
      </c>
      <c r="T40" s="11">
        <v>10</v>
      </c>
      <c r="U40" s="11"/>
      <c r="V40" s="14">
        <f t="shared" si="3"/>
        <v>30362.489999999998</v>
      </c>
      <c r="X40" s="11">
        <v>10</v>
      </c>
      <c r="Y40" s="11"/>
      <c r="Z40" s="14">
        <f t="shared" si="4"/>
        <v>32362.489999999998</v>
      </c>
    </row>
    <row r="41" spans="8:26">
      <c r="P41" s="11">
        <v>11</v>
      </c>
      <c r="Q41" s="11"/>
      <c r="R41" s="14">
        <f t="shared" si="2"/>
        <v>30012.489999999998</v>
      </c>
      <c r="T41" s="11">
        <v>11</v>
      </c>
      <c r="U41" s="11"/>
      <c r="V41" s="14">
        <f t="shared" si="3"/>
        <v>30362.489999999998</v>
      </c>
      <c r="X41" s="11">
        <v>11</v>
      </c>
      <c r="Y41" s="11"/>
      <c r="Z41" s="14">
        <f t="shared" si="4"/>
        <v>32362.489999999998</v>
      </c>
    </row>
    <row r="42" spans="8:26">
      <c r="H42" s="10" t="s">
        <v>41</v>
      </c>
      <c r="I42" s="10"/>
      <c r="J42" s="10"/>
      <c r="L42" s="10" t="s">
        <v>41</v>
      </c>
      <c r="M42" s="10"/>
      <c r="N42" s="10"/>
      <c r="P42" s="11">
        <v>12</v>
      </c>
      <c r="Q42" s="11"/>
      <c r="R42" s="14">
        <f t="shared" si="2"/>
        <v>30012.489999999998</v>
      </c>
      <c r="T42" s="11">
        <v>12</v>
      </c>
      <c r="U42" s="11"/>
      <c r="V42" s="14">
        <f t="shared" si="3"/>
        <v>30362.489999999998</v>
      </c>
      <c r="X42" s="11">
        <v>12</v>
      </c>
      <c r="Y42" s="11"/>
      <c r="Z42" s="14">
        <f t="shared" si="4"/>
        <v>32362.489999999998</v>
      </c>
    </row>
    <row r="43" spans="8:26">
      <c r="H43" s="11" t="s">
        <v>44</v>
      </c>
      <c r="I43" s="11"/>
      <c r="J43" s="14">
        <f>NPV(AC3,J29:J40)</f>
        <v>224296.73487113987</v>
      </c>
      <c r="L43" s="11" t="s">
        <v>44</v>
      </c>
      <c r="M43" s="11"/>
      <c r="N43" s="14">
        <f>NPV(AG3,N29:N40)</f>
        <v>270261.87999999995</v>
      </c>
    </row>
    <row r="44" spans="8:26">
      <c r="H44" s="11" t="s">
        <v>45</v>
      </c>
      <c r="I44" s="11"/>
      <c r="J44" s="14">
        <f>-FV(AC3,H40,,J43)</f>
        <v>257941.24510182065</v>
      </c>
      <c r="L44" s="11" t="s">
        <v>45</v>
      </c>
      <c r="M44" s="11"/>
      <c r="N44" s="14">
        <f>-FV(AC3,L40,,N43)</f>
        <v>310801.16200001171</v>
      </c>
      <c r="P44" s="10" t="s">
        <v>41</v>
      </c>
      <c r="Q44" s="10"/>
      <c r="R44" s="10"/>
      <c r="T44" s="10" t="s">
        <v>41</v>
      </c>
      <c r="U44" s="10"/>
      <c r="V44" s="10"/>
      <c r="X44" s="10" t="s">
        <v>41</v>
      </c>
      <c r="Y44" s="10"/>
      <c r="Z44" s="10"/>
    </row>
    <row r="45" spans="8:26">
      <c r="P45" s="11" t="s">
        <v>44</v>
      </c>
      <c r="Q45" s="11"/>
      <c r="R45" s="14">
        <f>NPV(AK3,R31:R42)</f>
        <v>360261.87999999995</v>
      </c>
      <c r="T45" s="11" t="s">
        <v>44</v>
      </c>
      <c r="U45" s="11"/>
      <c r="V45" s="14">
        <f>NPV(AO3,V31:V42)</f>
        <v>364461.87999999995</v>
      </c>
      <c r="X45" s="11" t="s">
        <v>44</v>
      </c>
      <c r="Y45" s="11"/>
      <c r="Z45" s="14">
        <f>NPV(AS3,Z31:Z42)</f>
        <v>388461.87999999995</v>
      </c>
    </row>
    <row r="46" spans="8:26">
      <c r="P46" s="11" t="s">
        <v>45</v>
      </c>
      <c r="Q46" s="11"/>
      <c r="R46" s="14">
        <f>-FV(AC3,P42,,R45)</f>
        <v>414301.16200001567</v>
      </c>
      <c r="T46" s="11" t="s">
        <v>45</v>
      </c>
      <c r="U46" s="11"/>
      <c r="V46" s="14">
        <f>-FV(AC3,T42,,V45)</f>
        <v>419131.16200001584</v>
      </c>
      <c r="X46" s="11" t="s">
        <v>45</v>
      </c>
      <c r="Y46" s="11"/>
      <c r="Z46" s="14">
        <f>-FV(AC3,X42,,Z45)</f>
        <v>446731.16200001689</v>
      </c>
    </row>
  </sheetData>
  <mergeCells count="5">
    <mergeCell ref="H2:J2"/>
    <mergeCell ref="L2:N2"/>
    <mergeCell ref="P2:R2"/>
    <mergeCell ref="T2:V2"/>
    <mergeCell ref="X2:Z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F4451-6657-40C7-ABE9-0308FE378585}">
  <dimension ref="G2:AF92"/>
  <sheetViews>
    <sheetView topLeftCell="S16" zoomScale="70" zoomScaleNormal="70" workbookViewId="0">
      <selection activeCell="R48" sqref="R48"/>
    </sheetView>
  </sheetViews>
  <sheetFormatPr defaultRowHeight="15"/>
  <cols>
    <col min="1" max="5" width="9.140625" style="9"/>
    <col min="6" max="6" width="4.42578125" style="9" customWidth="1"/>
    <col min="7" max="7" width="25.140625" style="9" customWidth="1"/>
    <col min="8" max="8" width="20.85546875" style="9" customWidth="1"/>
    <col min="9" max="12" width="12.5703125" style="9" customWidth="1"/>
    <col min="13" max="13" width="4.42578125" style="9" customWidth="1"/>
    <col min="14" max="14" width="25.140625" style="9" customWidth="1"/>
    <col min="15" max="15" width="13.28515625" style="9" customWidth="1"/>
    <col min="16" max="16" width="15" style="9" bestFit="1" customWidth="1"/>
    <col min="17" max="17" width="4.42578125" style="9" customWidth="1"/>
    <col min="18" max="18" width="25.140625" style="9" customWidth="1"/>
    <col min="19" max="19" width="13.28515625" style="9" customWidth="1"/>
    <col min="20" max="20" width="15" style="9" customWidth="1"/>
    <col min="21" max="21" width="5.5703125" style="9" customWidth="1"/>
    <col min="22" max="22" width="25.140625" style="9" customWidth="1"/>
    <col min="23" max="23" width="15.5703125" style="9" customWidth="1"/>
    <col min="24" max="24" width="15" style="9" customWidth="1"/>
    <col min="25" max="25" width="5.5703125" style="9" customWidth="1"/>
    <col min="26" max="26" width="25.140625" style="9" customWidth="1"/>
    <col min="27" max="27" width="16.28515625" style="9" customWidth="1"/>
    <col min="28" max="28" width="15.85546875" style="9" bestFit="1" customWidth="1"/>
    <col min="29" max="29" width="4.42578125" style="9" customWidth="1"/>
    <col min="30" max="30" width="20.85546875" style="9" customWidth="1"/>
    <col min="31" max="31" width="10.85546875" style="9" customWidth="1"/>
    <col min="32" max="32" width="7.28515625" style="9" customWidth="1"/>
    <col min="33" max="33" width="4.42578125" style="9" customWidth="1"/>
    <col min="34" max="16384" width="9.140625" style="9"/>
  </cols>
  <sheetData>
    <row r="2" spans="7:32" s="18" customFormat="1">
      <c r="G2" s="31" t="s">
        <v>46</v>
      </c>
      <c r="H2" s="31"/>
      <c r="N2" s="49" t="s">
        <v>47</v>
      </c>
      <c r="O2" s="101"/>
      <c r="P2" s="101"/>
      <c r="R2" s="31" t="s">
        <v>48</v>
      </c>
      <c r="S2" s="101"/>
      <c r="T2" s="101"/>
      <c r="U2" s="9"/>
      <c r="V2" s="31" t="s">
        <v>49</v>
      </c>
      <c r="W2" s="101"/>
      <c r="X2" s="101"/>
      <c r="Y2" s="9"/>
      <c r="Z2" s="31" t="s">
        <v>50</v>
      </c>
      <c r="AA2" s="101"/>
      <c r="AB2" s="101"/>
      <c r="AC2" s="9"/>
      <c r="AD2" s="10" t="s">
        <v>23</v>
      </c>
      <c r="AE2" s="28">
        <v>0.2</v>
      </c>
      <c r="AF2" s="12" t="s">
        <v>24</v>
      </c>
    </row>
    <row r="3" spans="7:32">
      <c r="G3" s="10" t="s">
        <v>51</v>
      </c>
      <c r="H3" s="10"/>
      <c r="N3" s="50" t="s">
        <v>51</v>
      </c>
      <c r="O3" s="100"/>
      <c r="P3" s="100"/>
      <c r="R3" s="10" t="s">
        <v>51</v>
      </c>
      <c r="S3" s="100"/>
      <c r="T3" s="100"/>
      <c r="V3" s="10" t="s">
        <v>51</v>
      </c>
      <c r="W3" s="100"/>
      <c r="X3" s="100"/>
      <c r="Z3" s="10" t="s">
        <v>51</v>
      </c>
      <c r="AA3" s="100"/>
      <c r="AB3" s="100"/>
      <c r="AD3" s="10" t="s">
        <v>26</v>
      </c>
      <c r="AE3" s="28">
        <f>RATE(12,,-1,1.15)</f>
        <v>1.1714916919856577E-2</v>
      </c>
      <c r="AF3" s="12" t="s">
        <v>27</v>
      </c>
    </row>
    <row r="4" spans="7:32" ht="15" customHeight="1">
      <c r="G4" s="13" t="s">
        <v>52</v>
      </c>
      <c r="H4" s="13" t="s">
        <v>53</v>
      </c>
      <c r="N4" s="51" t="s">
        <v>52</v>
      </c>
      <c r="O4" s="100" t="s">
        <v>53</v>
      </c>
      <c r="P4" s="100"/>
      <c r="R4" s="13" t="s">
        <v>52</v>
      </c>
      <c r="S4" s="100" t="s">
        <v>53</v>
      </c>
      <c r="T4" s="100"/>
      <c r="V4" s="13" t="s">
        <v>52</v>
      </c>
      <c r="W4" s="100" t="s">
        <v>53</v>
      </c>
      <c r="X4" s="100"/>
      <c r="Z4" s="13" t="s">
        <v>52</v>
      </c>
      <c r="AA4" s="100" t="s">
        <v>53</v>
      </c>
      <c r="AB4" s="100"/>
    </row>
    <row r="5" spans="7:32">
      <c r="G5" s="11"/>
      <c r="H5" s="11"/>
      <c r="N5" s="52" t="s">
        <v>54</v>
      </c>
      <c r="O5" s="97">
        <f>SUM(O10:O13)*0.6</f>
        <v>360</v>
      </c>
      <c r="P5" s="97"/>
      <c r="R5" s="11" t="s">
        <v>54</v>
      </c>
      <c r="S5" s="97">
        <f>SUM(S10:S13)*0.6</f>
        <v>432</v>
      </c>
      <c r="T5" s="97"/>
      <c r="V5" s="11" t="s">
        <v>54</v>
      </c>
      <c r="W5" s="97">
        <f>SUM(W10:W13)*0.6</f>
        <v>518.4</v>
      </c>
      <c r="X5" s="97"/>
      <c r="Z5" s="11" t="s">
        <v>54</v>
      </c>
      <c r="AA5" s="97">
        <f>SUM(AA10:AA13)*0.6</f>
        <v>622.07999999999993</v>
      </c>
      <c r="AB5" s="97"/>
    </row>
    <row r="6" spans="7:32">
      <c r="G6" s="74" t="s">
        <v>41</v>
      </c>
      <c r="H6" s="74"/>
      <c r="N6" s="52" t="s">
        <v>55</v>
      </c>
      <c r="O6" s="97">
        <f>SUM(O17:O20)*0.6</f>
        <v>744</v>
      </c>
      <c r="P6" s="97"/>
      <c r="R6" s="11" t="s">
        <v>55</v>
      </c>
      <c r="S6" s="97">
        <f>SUM(S17:S20)*0.6</f>
        <v>892.8</v>
      </c>
      <c r="T6" s="97"/>
      <c r="V6" s="11" t="s">
        <v>55</v>
      </c>
      <c r="W6" s="97">
        <f>SUM(W17:W20)*0.6</f>
        <v>1071.3599999999999</v>
      </c>
      <c r="X6" s="97"/>
      <c r="Z6" s="11" t="s">
        <v>55</v>
      </c>
      <c r="AA6" s="97">
        <f>SUM(AA17:AA20)*0.6</f>
        <v>1285.6319999999998</v>
      </c>
      <c r="AB6" s="97"/>
    </row>
    <row r="7" spans="7:32">
      <c r="G7" s="11" t="s">
        <v>45</v>
      </c>
      <c r="H7" s="75">
        <v>0</v>
      </c>
      <c r="N7" s="52" t="s">
        <v>56</v>
      </c>
      <c r="O7" s="97">
        <f>SUM(O24:O27)*0.6</f>
        <v>960</v>
      </c>
      <c r="P7" s="97"/>
      <c r="R7" s="11" t="s">
        <v>56</v>
      </c>
      <c r="S7" s="97">
        <f>SUM(S24:S27)*0.6</f>
        <v>1152</v>
      </c>
      <c r="T7" s="97"/>
      <c r="V7" s="11" t="s">
        <v>56</v>
      </c>
      <c r="W7" s="97">
        <f>SUM(W24:W27)*0.6</f>
        <v>1382.3999999999999</v>
      </c>
      <c r="X7" s="97"/>
      <c r="Z7" s="11" t="s">
        <v>56</v>
      </c>
      <c r="AA7" s="97">
        <f>SUM(AA24:AA27)*0.6</f>
        <v>1658.8799999999999</v>
      </c>
      <c r="AB7" s="97"/>
    </row>
    <row r="8" spans="7:32">
      <c r="G8" s="11" t="s">
        <v>44</v>
      </c>
      <c r="H8" s="75">
        <f>PV($AE$3,12,0,-H7)</f>
        <v>0</v>
      </c>
      <c r="O8" s="99"/>
      <c r="P8" s="99"/>
      <c r="S8" s="99"/>
      <c r="T8" s="99"/>
      <c r="W8" s="99"/>
      <c r="X8" s="99"/>
      <c r="AA8" s="99"/>
      <c r="AB8" s="99"/>
    </row>
    <row r="9" spans="7:32">
      <c r="G9" s="12" t="s">
        <v>41</v>
      </c>
      <c r="H9" s="32">
        <f>-FV($AE$3,12,,H8)</f>
        <v>0</v>
      </c>
      <c r="N9" s="50" t="s">
        <v>54</v>
      </c>
      <c r="O9" s="96" t="s">
        <v>57</v>
      </c>
      <c r="P9" s="96"/>
      <c r="R9" s="16" t="s">
        <v>54</v>
      </c>
      <c r="S9" s="96" t="s">
        <v>57</v>
      </c>
      <c r="T9" s="96"/>
      <c r="V9" s="16" t="s">
        <v>54</v>
      </c>
      <c r="W9" s="96" t="s">
        <v>57</v>
      </c>
      <c r="X9" s="96"/>
      <c r="Z9" s="16" t="s">
        <v>54</v>
      </c>
      <c r="AA9" s="96" t="s">
        <v>57</v>
      </c>
      <c r="AB9" s="96"/>
    </row>
    <row r="10" spans="7:32">
      <c r="N10" s="52" t="s">
        <v>58</v>
      </c>
      <c r="O10" s="97">
        <v>150</v>
      </c>
      <c r="P10" s="97"/>
      <c r="R10" s="11" t="s">
        <v>58</v>
      </c>
      <c r="S10" s="97">
        <f>O10*1.2</f>
        <v>180</v>
      </c>
      <c r="T10" s="97"/>
      <c r="V10" s="11" t="s">
        <v>58</v>
      </c>
      <c r="W10" s="97">
        <f>S10*1.2</f>
        <v>216</v>
      </c>
      <c r="X10" s="97"/>
      <c r="Z10" s="11" t="s">
        <v>58</v>
      </c>
      <c r="AA10" s="97">
        <f>W10*1.2</f>
        <v>259.2</v>
      </c>
      <c r="AB10" s="97"/>
    </row>
    <row r="11" spans="7:32">
      <c r="N11" s="52" t="s">
        <v>59</v>
      </c>
      <c r="O11" s="97">
        <v>150</v>
      </c>
      <c r="P11" s="97"/>
      <c r="R11" s="11" t="s">
        <v>59</v>
      </c>
      <c r="S11" s="97">
        <f t="shared" ref="S11:S13" si="0">O11*1.2</f>
        <v>180</v>
      </c>
      <c r="T11" s="97"/>
      <c r="V11" s="11" t="s">
        <v>59</v>
      </c>
      <c r="W11" s="97">
        <f>S11*1.2</f>
        <v>216</v>
      </c>
      <c r="X11" s="97"/>
      <c r="Z11" s="11" t="s">
        <v>59</v>
      </c>
      <c r="AA11" s="97">
        <f>W11*1.2</f>
        <v>259.2</v>
      </c>
      <c r="AB11" s="97"/>
    </row>
    <row r="12" spans="7:32">
      <c r="N12" s="52" t="s">
        <v>60</v>
      </c>
      <c r="O12" s="97">
        <v>150</v>
      </c>
      <c r="P12" s="97"/>
      <c r="R12" s="11" t="s">
        <v>60</v>
      </c>
      <c r="S12" s="97">
        <f t="shared" si="0"/>
        <v>180</v>
      </c>
      <c r="T12" s="97"/>
      <c r="V12" s="11" t="s">
        <v>60</v>
      </c>
      <c r="W12" s="97">
        <f>S12*1.2</f>
        <v>216</v>
      </c>
      <c r="X12" s="97"/>
      <c r="Z12" s="11" t="s">
        <v>60</v>
      </c>
      <c r="AA12" s="97">
        <f t="shared" ref="AA11:AA13" si="1">W12*1.2</f>
        <v>259.2</v>
      </c>
      <c r="AB12" s="97"/>
    </row>
    <row r="13" spans="7:32">
      <c r="N13" s="52" t="s">
        <v>61</v>
      </c>
      <c r="O13" s="97">
        <v>150</v>
      </c>
      <c r="P13" s="97"/>
      <c r="R13" s="11" t="s">
        <v>61</v>
      </c>
      <c r="S13" s="97">
        <f t="shared" si="0"/>
        <v>180</v>
      </c>
      <c r="T13" s="97"/>
      <c r="V13" s="11" t="s">
        <v>61</v>
      </c>
      <c r="W13" s="97">
        <f>S13*1.2</f>
        <v>216</v>
      </c>
      <c r="X13" s="97"/>
      <c r="Z13" s="11" t="s">
        <v>61</v>
      </c>
      <c r="AA13" s="97">
        <f t="shared" si="1"/>
        <v>259.2</v>
      </c>
      <c r="AB13" s="97"/>
    </row>
    <row r="14" spans="7:32">
      <c r="N14" s="53" t="s">
        <v>41</v>
      </c>
      <c r="O14" s="98">
        <f>SUM(O10,O11,O12,O13,O5)</f>
        <v>960</v>
      </c>
      <c r="P14" s="98"/>
      <c r="R14" s="34" t="s">
        <v>41</v>
      </c>
      <c r="S14" s="98">
        <f>SUM(S10,S11,S12,S13,S5)</f>
        <v>1152</v>
      </c>
      <c r="T14" s="98"/>
      <c r="V14" s="34" t="s">
        <v>41</v>
      </c>
      <c r="W14" s="98">
        <f>SUM(W10,W11,W12,W13,W5)</f>
        <v>1382.4</v>
      </c>
      <c r="X14" s="98"/>
      <c r="Z14" s="34" t="s">
        <v>41</v>
      </c>
      <c r="AA14" s="98">
        <f>SUM(AA10,AA11,AA12,AA13,AA5)</f>
        <v>1658.8799999999999</v>
      </c>
      <c r="AB14" s="98"/>
    </row>
    <row r="15" spans="7:32">
      <c r="O15" s="27"/>
      <c r="P15" s="27"/>
      <c r="S15" s="27"/>
      <c r="T15" s="27"/>
      <c r="W15" s="27"/>
      <c r="X15" s="27"/>
      <c r="AA15" s="27"/>
      <c r="AB15" s="27"/>
    </row>
    <row r="16" spans="7:32">
      <c r="N16" s="50" t="s">
        <v>55</v>
      </c>
      <c r="O16" s="96" t="s">
        <v>62</v>
      </c>
      <c r="P16" s="96"/>
      <c r="R16" s="16" t="s">
        <v>55</v>
      </c>
      <c r="S16" s="96" t="s">
        <v>62</v>
      </c>
      <c r="T16" s="96"/>
      <c r="V16" s="16" t="s">
        <v>55</v>
      </c>
      <c r="W16" s="96" t="s">
        <v>62</v>
      </c>
      <c r="X16" s="96"/>
      <c r="Z16" s="16" t="s">
        <v>55</v>
      </c>
      <c r="AA16" s="96" t="s">
        <v>62</v>
      </c>
      <c r="AB16" s="96"/>
    </row>
    <row r="17" spans="14:30">
      <c r="N17" s="52" t="s">
        <v>58</v>
      </c>
      <c r="O17" s="97">
        <v>310</v>
      </c>
      <c r="P17" s="97"/>
      <c r="R17" s="11" t="s">
        <v>58</v>
      </c>
      <c r="S17" s="97">
        <f>O17*1.2</f>
        <v>372</v>
      </c>
      <c r="T17" s="97"/>
      <c r="V17" s="11" t="s">
        <v>58</v>
      </c>
      <c r="W17" s="97">
        <f>S17*1.2</f>
        <v>446.4</v>
      </c>
      <c r="X17" s="97"/>
      <c r="Z17" s="11" t="s">
        <v>58</v>
      </c>
      <c r="AA17" s="97">
        <f>W17*1.2</f>
        <v>535.67999999999995</v>
      </c>
      <c r="AB17" s="97"/>
    </row>
    <row r="18" spans="14:30">
      <c r="N18" s="52" t="s">
        <v>59</v>
      </c>
      <c r="O18" s="97">
        <v>310</v>
      </c>
      <c r="P18" s="97"/>
      <c r="R18" s="11" t="s">
        <v>59</v>
      </c>
      <c r="S18" s="97">
        <f t="shared" ref="S18:S20" si="2">O18*1.2</f>
        <v>372</v>
      </c>
      <c r="T18" s="97"/>
      <c r="V18" s="11" t="s">
        <v>59</v>
      </c>
      <c r="W18" s="97">
        <f t="shared" ref="W18:W20" si="3">S18*1.2</f>
        <v>446.4</v>
      </c>
      <c r="X18" s="97"/>
      <c r="Z18" s="11" t="s">
        <v>59</v>
      </c>
      <c r="AA18" s="97">
        <f t="shared" ref="AA18:AA20" si="4">W18*1.2</f>
        <v>535.67999999999995</v>
      </c>
      <c r="AB18" s="97"/>
    </row>
    <row r="19" spans="14:30">
      <c r="N19" s="52" t="s">
        <v>60</v>
      </c>
      <c r="O19" s="97">
        <v>310</v>
      </c>
      <c r="P19" s="97"/>
      <c r="R19" s="11" t="s">
        <v>60</v>
      </c>
      <c r="S19" s="97">
        <f t="shared" si="2"/>
        <v>372</v>
      </c>
      <c r="T19" s="97"/>
      <c r="V19" s="11" t="s">
        <v>60</v>
      </c>
      <c r="W19" s="97">
        <f t="shared" si="3"/>
        <v>446.4</v>
      </c>
      <c r="X19" s="97"/>
      <c r="Z19" s="11" t="s">
        <v>60</v>
      </c>
      <c r="AA19" s="97">
        <f t="shared" si="4"/>
        <v>535.67999999999995</v>
      </c>
      <c r="AB19" s="97"/>
    </row>
    <row r="20" spans="14:30">
      <c r="N20" s="52" t="s">
        <v>61</v>
      </c>
      <c r="O20" s="97">
        <v>310</v>
      </c>
      <c r="P20" s="97"/>
      <c r="R20" s="30" t="s">
        <v>61</v>
      </c>
      <c r="S20" s="97">
        <f t="shared" si="2"/>
        <v>372</v>
      </c>
      <c r="T20" s="97"/>
      <c r="V20" s="30" t="s">
        <v>61</v>
      </c>
      <c r="W20" s="97">
        <f t="shared" si="3"/>
        <v>446.4</v>
      </c>
      <c r="X20" s="97"/>
      <c r="Z20" s="30" t="s">
        <v>61</v>
      </c>
      <c r="AA20" s="97">
        <f t="shared" si="4"/>
        <v>535.67999999999995</v>
      </c>
      <c r="AB20" s="97"/>
    </row>
    <row r="21" spans="14:30">
      <c r="N21" s="53" t="s">
        <v>41</v>
      </c>
      <c r="O21" s="98">
        <f>SUM(O17,O18,O19,O20,O6)</f>
        <v>1984</v>
      </c>
      <c r="P21" s="98"/>
      <c r="R21" s="12" t="s">
        <v>41</v>
      </c>
      <c r="S21" s="98">
        <f>SUM(S17,S18,S19,S20,S6)</f>
        <v>2380.8000000000002</v>
      </c>
      <c r="T21" s="98"/>
      <c r="V21" s="12" t="s">
        <v>41</v>
      </c>
      <c r="W21" s="98">
        <f>SUM(W17,W18,W19,W20,W6)</f>
        <v>2856.96</v>
      </c>
      <c r="X21" s="98"/>
      <c r="Z21" s="12" t="s">
        <v>41</v>
      </c>
      <c r="AA21" s="98">
        <f>SUM(AA17,AA18,AA19,AA20,AA6)</f>
        <v>3428.3519999999999</v>
      </c>
      <c r="AB21" s="98"/>
    </row>
    <row r="22" spans="14:30">
      <c r="O22" s="27"/>
      <c r="P22" s="27"/>
      <c r="S22" s="27"/>
      <c r="T22" s="27"/>
      <c r="W22" s="27"/>
      <c r="X22" s="27"/>
      <c r="AA22" s="27"/>
      <c r="AB22" s="27"/>
    </row>
    <row r="23" spans="14:30">
      <c r="N23" s="50" t="s">
        <v>56</v>
      </c>
      <c r="O23" s="96" t="s">
        <v>63</v>
      </c>
      <c r="P23" s="96"/>
      <c r="R23" s="16" t="s">
        <v>56</v>
      </c>
      <c r="S23" s="96" t="s">
        <v>63</v>
      </c>
      <c r="T23" s="96"/>
      <c r="V23" s="16" t="s">
        <v>56</v>
      </c>
      <c r="W23" s="96" t="s">
        <v>63</v>
      </c>
      <c r="X23" s="96"/>
      <c r="Z23" s="16" t="s">
        <v>56</v>
      </c>
      <c r="AA23" s="96" t="s">
        <v>63</v>
      </c>
      <c r="AB23" s="96"/>
    </row>
    <row r="24" spans="14:30">
      <c r="N24" s="52" t="s">
        <v>58</v>
      </c>
      <c r="O24" s="97">
        <v>400</v>
      </c>
      <c r="P24" s="97"/>
      <c r="R24" s="11" t="s">
        <v>58</v>
      </c>
      <c r="S24" s="97">
        <f>O24*1.2</f>
        <v>480</v>
      </c>
      <c r="T24" s="97"/>
      <c r="V24" s="11" t="s">
        <v>58</v>
      </c>
      <c r="W24" s="97">
        <f>S24*1.2</f>
        <v>576</v>
      </c>
      <c r="X24" s="97"/>
      <c r="Z24" s="11" t="s">
        <v>58</v>
      </c>
      <c r="AA24" s="97">
        <f>W24*1.2</f>
        <v>691.19999999999993</v>
      </c>
      <c r="AB24" s="97"/>
    </row>
    <row r="25" spans="14:30">
      <c r="N25" s="52" t="s">
        <v>59</v>
      </c>
      <c r="O25" s="97">
        <v>400</v>
      </c>
      <c r="P25" s="97"/>
      <c r="R25" s="11" t="s">
        <v>59</v>
      </c>
      <c r="S25" s="97">
        <f t="shared" ref="S25:S27" si="5">O25*1.2</f>
        <v>480</v>
      </c>
      <c r="T25" s="97"/>
      <c r="V25" s="11" t="s">
        <v>59</v>
      </c>
      <c r="W25" s="97">
        <f t="shared" ref="W25:W27" si="6">S25*1.2</f>
        <v>576</v>
      </c>
      <c r="X25" s="97"/>
      <c r="Z25" s="11" t="s">
        <v>59</v>
      </c>
      <c r="AA25" s="97">
        <f t="shared" ref="AA25:AA27" si="7">W25*1.2</f>
        <v>691.19999999999993</v>
      </c>
      <c r="AB25" s="97"/>
      <c r="AD25" s="47"/>
    </row>
    <row r="26" spans="14:30">
      <c r="N26" s="52" t="s">
        <v>60</v>
      </c>
      <c r="O26" s="97">
        <v>400</v>
      </c>
      <c r="P26" s="97"/>
      <c r="R26" s="11" t="s">
        <v>60</v>
      </c>
      <c r="S26" s="97">
        <f t="shared" si="5"/>
        <v>480</v>
      </c>
      <c r="T26" s="97"/>
      <c r="V26" s="11" t="s">
        <v>60</v>
      </c>
      <c r="W26" s="97">
        <f t="shared" si="6"/>
        <v>576</v>
      </c>
      <c r="X26" s="97"/>
      <c r="Z26" s="11" t="s">
        <v>60</v>
      </c>
      <c r="AA26" s="97">
        <f t="shared" si="7"/>
        <v>691.19999999999993</v>
      </c>
      <c r="AB26" s="97"/>
    </row>
    <row r="27" spans="14:30">
      <c r="N27" s="52" t="s">
        <v>61</v>
      </c>
      <c r="O27" s="97">
        <v>400</v>
      </c>
      <c r="P27" s="97"/>
      <c r="R27" s="11" t="s">
        <v>61</v>
      </c>
      <c r="S27" s="97">
        <f t="shared" si="5"/>
        <v>480</v>
      </c>
      <c r="T27" s="97"/>
      <c r="V27" s="11" t="s">
        <v>61</v>
      </c>
      <c r="W27" s="97">
        <f t="shared" si="6"/>
        <v>576</v>
      </c>
      <c r="X27" s="97"/>
      <c r="Z27" s="11" t="s">
        <v>61</v>
      </c>
      <c r="AA27" s="97">
        <f t="shared" si="7"/>
        <v>691.19999999999993</v>
      </c>
      <c r="AB27" s="97"/>
    </row>
    <row r="28" spans="14:30">
      <c r="N28" s="53" t="s">
        <v>41</v>
      </c>
      <c r="O28" s="98">
        <f>SUM(O24,O26,O27,O25,O7)</f>
        <v>2560</v>
      </c>
      <c r="P28" s="98"/>
      <c r="R28" s="12" t="s">
        <v>41</v>
      </c>
      <c r="S28" s="98">
        <f>SUM(S24,S26,S27,S25,S7)</f>
        <v>3072</v>
      </c>
      <c r="T28" s="98"/>
      <c r="V28" s="12" t="s">
        <v>41</v>
      </c>
      <c r="W28" s="98">
        <f>SUM(W24,W26,W27,W25,W7)</f>
        <v>3686.3999999999996</v>
      </c>
      <c r="X28" s="98"/>
      <c r="Z28" s="12" t="s">
        <v>41</v>
      </c>
      <c r="AA28" s="98">
        <f>SUM(AA24,AA26,AA27,AA25,AA7)</f>
        <v>4423.6799999999994</v>
      </c>
      <c r="AB28" s="98"/>
    </row>
    <row r="30" spans="14:30">
      <c r="N30" s="54"/>
      <c r="O30" s="54" t="s">
        <v>64</v>
      </c>
      <c r="P30" s="54" t="s">
        <v>65</v>
      </c>
      <c r="R30" s="54"/>
      <c r="S30" s="54" t="s">
        <v>64</v>
      </c>
      <c r="T30" s="54" t="s">
        <v>65</v>
      </c>
      <c r="U30" s="58"/>
      <c r="V30" s="54"/>
      <c r="W30" s="54" t="s">
        <v>64</v>
      </c>
      <c r="X30" s="54" t="s">
        <v>65</v>
      </c>
      <c r="Z30" s="54"/>
      <c r="AA30" s="54" t="s">
        <v>64</v>
      </c>
      <c r="AB30" s="54" t="s">
        <v>65</v>
      </c>
    </row>
    <row r="31" spans="14:30">
      <c r="N31" s="52" t="s">
        <v>54</v>
      </c>
      <c r="O31" s="52">
        <v>10</v>
      </c>
      <c r="P31" s="48">
        <f>O31*O14</f>
        <v>9600</v>
      </c>
      <c r="R31" s="52" t="s">
        <v>54</v>
      </c>
      <c r="S31" s="52">
        <v>20</v>
      </c>
      <c r="T31" s="48">
        <f>S31*S14</f>
        <v>23040</v>
      </c>
      <c r="U31" s="27"/>
      <c r="V31" s="52" t="s">
        <v>54</v>
      </c>
      <c r="W31" s="52">
        <v>25</v>
      </c>
      <c r="X31" s="48">
        <f>W31*W14</f>
        <v>34560</v>
      </c>
      <c r="Z31" s="52" t="s">
        <v>54</v>
      </c>
      <c r="AA31" s="52">
        <v>30</v>
      </c>
      <c r="AB31" s="48">
        <f>AA31*AA14</f>
        <v>49766.399999999994</v>
      </c>
    </row>
    <row r="32" spans="14:30">
      <c r="N32" s="52" t="s">
        <v>55</v>
      </c>
      <c r="O32" s="52">
        <v>2</v>
      </c>
      <c r="P32" s="48">
        <f>O32*O21</f>
        <v>3968</v>
      </c>
      <c r="R32" s="52" t="s">
        <v>55</v>
      </c>
      <c r="S32" s="52">
        <v>10</v>
      </c>
      <c r="T32" s="48">
        <f>S32*S21</f>
        <v>23808</v>
      </c>
      <c r="U32" s="27"/>
      <c r="V32" s="52" t="s">
        <v>55</v>
      </c>
      <c r="W32" s="52">
        <v>10</v>
      </c>
      <c r="X32" s="48">
        <f>W32*W21</f>
        <v>28569.599999999999</v>
      </c>
      <c r="Z32" s="52" t="s">
        <v>55</v>
      </c>
      <c r="AA32" s="52">
        <v>20</v>
      </c>
      <c r="AB32" s="48">
        <f>AA32*AA21</f>
        <v>68567.039999999994</v>
      </c>
    </row>
    <row r="33" spans="14:28">
      <c r="N33" s="52" t="s">
        <v>56</v>
      </c>
      <c r="O33" s="52">
        <v>1</v>
      </c>
      <c r="P33" s="48">
        <f>O33*O28</f>
        <v>2560</v>
      </c>
      <c r="R33" s="52" t="s">
        <v>56</v>
      </c>
      <c r="S33" s="52">
        <v>5</v>
      </c>
      <c r="T33" s="48">
        <f>S33*S28</f>
        <v>15360</v>
      </c>
      <c r="U33" s="27"/>
      <c r="V33" s="52" t="s">
        <v>56</v>
      </c>
      <c r="W33" s="52">
        <v>10</v>
      </c>
      <c r="X33" s="48">
        <f>W33*W28</f>
        <v>36864</v>
      </c>
      <c r="Z33" s="52" t="s">
        <v>56</v>
      </c>
      <c r="AA33" s="52">
        <v>15</v>
      </c>
      <c r="AB33" s="48">
        <f>AA33*AA28</f>
        <v>66355.199999999997</v>
      </c>
    </row>
    <row r="34" spans="14:28">
      <c r="N34" s="53" t="s">
        <v>41</v>
      </c>
      <c r="O34" s="53">
        <f>SUM(O31:O33)</f>
        <v>13</v>
      </c>
      <c r="P34" s="73">
        <f>SUM(P31:P33)</f>
        <v>16128</v>
      </c>
      <c r="R34" s="53" t="s">
        <v>41</v>
      </c>
      <c r="S34" s="53">
        <f>SUM(S31:S33)</f>
        <v>35</v>
      </c>
      <c r="T34" s="55">
        <f>SUM(T31:T33)</f>
        <v>62208</v>
      </c>
      <c r="U34" s="59"/>
      <c r="V34" s="53" t="s">
        <v>41</v>
      </c>
      <c r="W34" s="53">
        <f>SUM(W31:W33)</f>
        <v>45</v>
      </c>
      <c r="X34" s="55">
        <f>SUM(X31:X33)</f>
        <v>99993.600000000006</v>
      </c>
      <c r="Z34" s="53" t="s">
        <v>41</v>
      </c>
      <c r="AA34" s="53">
        <f>SUM(AA31:AA33)</f>
        <v>65</v>
      </c>
      <c r="AB34" s="55">
        <f>SUM(AB31:AB33)</f>
        <v>184688.63999999998</v>
      </c>
    </row>
    <row r="36" spans="14:28">
      <c r="N36" s="54" t="s">
        <v>41</v>
      </c>
      <c r="O36" s="102"/>
      <c r="P36" s="103"/>
      <c r="R36" s="54" t="s">
        <v>41</v>
      </c>
      <c r="S36" s="102"/>
      <c r="T36" s="103"/>
      <c r="V36" s="54" t="s">
        <v>41</v>
      </c>
      <c r="W36" s="102"/>
      <c r="X36" s="103"/>
      <c r="Z36" s="54" t="s">
        <v>41</v>
      </c>
      <c r="AA36" s="102"/>
      <c r="AB36" s="103"/>
    </row>
    <row r="37" spans="14:28">
      <c r="N37" s="52" t="s">
        <v>45</v>
      </c>
      <c r="O37" s="104">
        <f>P34*12</f>
        <v>193536</v>
      </c>
      <c r="P37" s="105"/>
      <c r="R37" s="52" t="s">
        <v>45</v>
      </c>
      <c r="S37" s="104">
        <f>T34*12</f>
        <v>746496</v>
      </c>
      <c r="T37" s="105"/>
      <c r="V37" s="52" t="s">
        <v>45</v>
      </c>
      <c r="W37" s="104">
        <f>X34*12</f>
        <v>1199923.2000000002</v>
      </c>
      <c r="X37" s="105"/>
      <c r="Z37" s="52" t="s">
        <v>45</v>
      </c>
      <c r="AA37" s="104">
        <f>AB34*12</f>
        <v>2216263.6799999997</v>
      </c>
      <c r="AB37" s="105"/>
    </row>
    <row r="38" spans="14:28">
      <c r="N38" s="52" t="s">
        <v>66</v>
      </c>
      <c r="O38" s="104">
        <f>PV($AE$3,12,0,-O37)</f>
        <v>168292.17391303708</v>
      </c>
      <c r="P38" s="105"/>
      <c r="R38" s="52" t="s">
        <v>66</v>
      </c>
      <c r="S38" s="104">
        <f>PV($AE$3,12,0,-S37)</f>
        <v>649126.95652171446</v>
      </c>
      <c r="T38" s="105"/>
      <c r="V38" s="52" t="s">
        <v>66</v>
      </c>
      <c r="W38" s="104">
        <f>PV($AE$3,12,0,-W37)</f>
        <v>1043411.4782608302</v>
      </c>
      <c r="X38" s="105"/>
      <c r="Z38" s="52" t="s">
        <v>66</v>
      </c>
      <c r="AA38" s="104">
        <f>PV($AE$3,12,0,-AA37)</f>
        <v>1927185.8086955787</v>
      </c>
      <c r="AB38" s="105"/>
    </row>
    <row r="39" spans="14:28">
      <c r="N39" s="53" t="s">
        <v>41</v>
      </c>
      <c r="O39" s="107">
        <f>-FV($AE$3,12,,O38)</f>
        <v>193536</v>
      </c>
      <c r="P39" s="108"/>
      <c r="R39" s="53" t="s">
        <v>41</v>
      </c>
      <c r="S39" s="106">
        <f>-FV($AE$3,12,,S38)</f>
        <v>746496</v>
      </c>
      <c r="T39" s="106"/>
      <c r="V39" s="53" t="s">
        <v>41</v>
      </c>
      <c r="W39" s="106">
        <f>-FV($AE$3,12,,W38)</f>
        <v>1199923.2000000002</v>
      </c>
      <c r="X39" s="106"/>
      <c r="Z39" s="53" t="s">
        <v>41</v>
      </c>
      <c r="AA39" s="106">
        <f>-FV($AE$3,12,,AA38)</f>
        <v>2216263.6799999997</v>
      </c>
      <c r="AB39" s="106"/>
    </row>
    <row r="40" spans="14:28">
      <c r="S40" s="47"/>
    </row>
    <row r="42" spans="14:28">
      <c r="W42" s="47"/>
    </row>
    <row r="69" ht="35.25" customHeight="1"/>
    <row r="92" ht="30.75" customHeight="1"/>
  </sheetData>
  <mergeCells count="116">
    <mergeCell ref="W36:X36"/>
    <mergeCell ref="AA36:AB36"/>
    <mergeCell ref="AA21:AB21"/>
    <mergeCell ref="AA23:AB23"/>
    <mergeCell ref="AA24:AB24"/>
    <mergeCell ref="AA25:AB25"/>
    <mergeCell ref="W37:X37"/>
    <mergeCell ref="W38:X38"/>
    <mergeCell ref="W39:X39"/>
    <mergeCell ref="AA39:AB39"/>
    <mergeCell ref="AA26:AB26"/>
    <mergeCell ref="AA27:AB27"/>
    <mergeCell ref="AA28:AB28"/>
    <mergeCell ref="AA37:AB37"/>
    <mergeCell ref="AA38:AB38"/>
    <mergeCell ref="AA2:AB2"/>
    <mergeCell ref="AA3:AB3"/>
    <mergeCell ref="AA4:AB4"/>
    <mergeCell ref="AA5:AB5"/>
    <mergeCell ref="AA6:AB6"/>
    <mergeCell ref="AA7:AB7"/>
    <mergeCell ref="AA8:AB8"/>
    <mergeCell ref="AA9:AB9"/>
    <mergeCell ref="AA10:AB10"/>
    <mergeCell ref="AA11:AB11"/>
    <mergeCell ref="AA12:AB12"/>
    <mergeCell ref="AA13:AB13"/>
    <mergeCell ref="W24:X24"/>
    <mergeCell ref="W25:X25"/>
    <mergeCell ref="W26:X26"/>
    <mergeCell ref="W27:X27"/>
    <mergeCell ref="W28:X28"/>
    <mergeCell ref="AA14:AB14"/>
    <mergeCell ref="AA16:AB16"/>
    <mergeCell ref="AA17:AB17"/>
    <mergeCell ref="AA18:AB18"/>
    <mergeCell ref="AA19:AB19"/>
    <mergeCell ref="AA20:AB20"/>
    <mergeCell ref="W7:X7"/>
    <mergeCell ref="W8:X8"/>
    <mergeCell ref="W9:X9"/>
    <mergeCell ref="W10:X10"/>
    <mergeCell ref="W11:X11"/>
    <mergeCell ref="W18:X18"/>
    <mergeCell ref="W19:X19"/>
    <mergeCell ref="W20:X20"/>
    <mergeCell ref="W12:X12"/>
    <mergeCell ref="W13:X13"/>
    <mergeCell ref="W14:X14"/>
    <mergeCell ref="W16:X16"/>
    <mergeCell ref="W17:X17"/>
    <mergeCell ref="W2:X2"/>
    <mergeCell ref="W3:X3"/>
    <mergeCell ref="W4:X4"/>
    <mergeCell ref="W5:X5"/>
    <mergeCell ref="W6:X6"/>
    <mergeCell ref="S21:T21"/>
    <mergeCell ref="S23:T23"/>
    <mergeCell ref="S12:T12"/>
    <mergeCell ref="S13:T13"/>
    <mergeCell ref="S14:T14"/>
    <mergeCell ref="S16:T16"/>
    <mergeCell ref="S17:T17"/>
    <mergeCell ref="S11:T11"/>
    <mergeCell ref="S2:T2"/>
    <mergeCell ref="S3:T3"/>
    <mergeCell ref="S4:T4"/>
    <mergeCell ref="S5:T5"/>
    <mergeCell ref="S6:T6"/>
    <mergeCell ref="S18:T18"/>
    <mergeCell ref="S19:T19"/>
    <mergeCell ref="S20:T20"/>
    <mergeCell ref="W21:X21"/>
    <mergeCell ref="W23:X23"/>
    <mergeCell ref="O36:P36"/>
    <mergeCell ref="O37:P37"/>
    <mergeCell ref="S37:T37"/>
    <mergeCell ref="S38:T38"/>
    <mergeCell ref="S39:T39"/>
    <mergeCell ref="S24:T24"/>
    <mergeCell ref="S25:T25"/>
    <mergeCell ref="S26:T26"/>
    <mergeCell ref="S27:T27"/>
    <mergeCell ref="S28:T28"/>
    <mergeCell ref="O24:P24"/>
    <mergeCell ref="O25:P25"/>
    <mergeCell ref="O26:P26"/>
    <mergeCell ref="O27:P27"/>
    <mergeCell ref="O28:P28"/>
    <mergeCell ref="O38:P38"/>
    <mergeCell ref="O39:P39"/>
    <mergeCell ref="S36:T36"/>
    <mergeCell ref="O4:P4"/>
    <mergeCell ref="O3:P3"/>
    <mergeCell ref="O2:P2"/>
    <mergeCell ref="O5:P5"/>
    <mergeCell ref="O6:P6"/>
    <mergeCell ref="S7:T7"/>
    <mergeCell ref="S8:T8"/>
    <mergeCell ref="S9:T9"/>
    <mergeCell ref="S10:T10"/>
    <mergeCell ref="O23:P23"/>
    <mergeCell ref="O16:P16"/>
    <mergeCell ref="O9:P9"/>
    <mergeCell ref="O7:P7"/>
    <mergeCell ref="O10:P10"/>
    <mergeCell ref="O11:P11"/>
    <mergeCell ref="O12:P12"/>
    <mergeCell ref="O13:P13"/>
    <mergeCell ref="O14:P14"/>
    <mergeCell ref="O8:P8"/>
    <mergeCell ref="O17:P17"/>
    <mergeCell ref="O18:P18"/>
    <mergeCell ref="O19:P19"/>
    <mergeCell ref="O20:P20"/>
    <mergeCell ref="O21:P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658D9-E3FD-4252-B183-7AEC37681CBE}">
  <dimension ref="A1:O60"/>
  <sheetViews>
    <sheetView topLeftCell="A15" zoomScale="70" zoomScaleNormal="70" workbookViewId="0">
      <selection activeCell="E27" sqref="E21:E27"/>
    </sheetView>
  </sheetViews>
  <sheetFormatPr defaultRowHeight="15"/>
  <cols>
    <col min="1" max="1" width="4.42578125" style="3" customWidth="1"/>
    <col min="2" max="2" width="19.85546875" customWidth="1"/>
    <col min="3" max="3" width="15" customWidth="1"/>
    <col min="4" max="4" width="4.140625" customWidth="1"/>
    <col min="5" max="5" width="19.42578125" customWidth="1"/>
    <col min="6" max="6" width="17.42578125" style="3" bestFit="1" customWidth="1"/>
    <col min="7" max="7" width="20.28515625" customWidth="1"/>
    <col min="8" max="8" width="20.7109375" style="3" customWidth="1"/>
    <col min="9" max="9" width="4.140625" customWidth="1"/>
    <col min="10" max="10" width="26.7109375" bestFit="1" customWidth="1"/>
    <col min="11" max="11" width="19.140625" style="3" customWidth="1"/>
    <col min="12" max="12" width="5.140625" bestFit="1" customWidth="1"/>
    <col min="13" max="13" width="16.85546875" customWidth="1"/>
    <col min="14" max="15" width="13.7109375" bestFit="1" customWidth="1"/>
  </cols>
  <sheetData>
    <row r="1" spans="2:12">
      <c r="D1" s="3"/>
      <c r="F1"/>
      <c r="G1" s="3"/>
      <c r="H1"/>
      <c r="I1" s="3"/>
      <c r="K1"/>
      <c r="L1" s="3"/>
    </row>
    <row r="2" spans="2:12" ht="18.75">
      <c r="B2" s="109" t="s">
        <v>67</v>
      </c>
      <c r="C2" s="109"/>
      <c r="D2" s="42"/>
      <c r="E2" s="64"/>
      <c r="F2" s="64" t="s">
        <v>68</v>
      </c>
      <c r="G2" s="64" t="s">
        <v>69</v>
      </c>
      <c r="H2" s="64" t="s">
        <v>70</v>
      </c>
      <c r="I2" s="42"/>
    </row>
    <row r="3" spans="2:12">
      <c r="B3" s="5" t="s">
        <v>52</v>
      </c>
      <c r="C3" s="45" t="s">
        <v>71</v>
      </c>
      <c r="D3" s="42"/>
      <c r="E3" s="64" t="s">
        <v>18</v>
      </c>
      <c r="F3" s="65">
        <f>Receitas!H9</f>
        <v>0</v>
      </c>
      <c r="G3" s="61">
        <f>Despesas!J44</f>
        <v>257941.24510182065</v>
      </c>
      <c r="H3" s="65">
        <f>F3-G3</f>
        <v>-257941.24510182065</v>
      </c>
      <c r="I3" s="42"/>
    </row>
    <row r="4" spans="2:12">
      <c r="B4" s="5" t="s">
        <v>69</v>
      </c>
      <c r="C4" s="46" t="s">
        <v>71</v>
      </c>
      <c r="D4" s="43"/>
      <c r="E4" s="64" t="s">
        <v>19</v>
      </c>
      <c r="F4" s="65">
        <f>Receitas!O39</f>
        <v>193536</v>
      </c>
      <c r="G4" s="61">
        <f>Despesas!N44</f>
        <v>310801.16200001171</v>
      </c>
      <c r="H4" s="65">
        <f t="shared" ref="H4:H7" si="0">F4-G4</f>
        <v>-117265.16200001171</v>
      </c>
      <c r="I4" s="43"/>
    </row>
    <row r="5" spans="2:12">
      <c r="D5" s="3"/>
      <c r="E5" s="64" t="s">
        <v>20</v>
      </c>
      <c r="F5" s="65">
        <f>Receitas!S39</f>
        <v>746496</v>
      </c>
      <c r="G5" s="61">
        <f>Despesas!R46</f>
        <v>414301.16200001567</v>
      </c>
      <c r="H5" s="65">
        <f t="shared" si="0"/>
        <v>332194.83799998433</v>
      </c>
      <c r="I5" s="3"/>
    </row>
    <row r="6" spans="2:12">
      <c r="B6" s="44" t="s">
        <v>72</v>
      </c>
      <c r="C6" s="38">
        <v>0.2</v>
      </c>
      <c r="D6" s="3"/>
      <c r="E6" s="64" t="s">
        <v>21</v>
      </c>
      <c r="F6" s="65">
        <f>Receitas!W39</f>
        <v>1199923.2000000002</v>
      </c>
      <c r="G6" s="61">
        <f>Despesas!V46</f>
        <v>419131.16200001584</v>
      </c>
      <c r="H6" s="65">
        <f t="shared" si="0"/>
        <v>780792.03799998434</v>
      </c>
      <c r="I6" s="3"/>
    </row>
    <row r="7" spans="2:12">
      <c r="B7" s="44" t="s">
        <v>73</v>
      </c>
      <c r="C7" s="38">
        <f>RATE(12,,-1,1.15)</f>
        <v>1.1714916919856577E-2</v>
      </c>
      <c r="D7" s="3"/>
      <c r="E7" s="64" t="s">
        <v>22</v>
      </c>
      <c r="F7" s="65">
        <f>Receitas!AA39</f>
        <v>2216263.6799999997</v>
      </c>
      <c r="G7" s="61">
        <f>Despesas!Z46</f>
        <v>446731.16200001689</v>
      </c>
      <c r="H7" s="65">
        <f t="shared" si="0"/>
        <v>1769532.5179999829</v>
      </c>
      <c r="I7" s="3"/>
    </row>
    <row r="8" spans="2:12">
      <c r="B8" s="44" t="s">
        <v>74</v>
      </c>
      <c r="C8" s="4">
        <f>Investimento!R4</f>
        <v>350000</v>
      </c>
      <c r="D8" s="3"/>
      <c r="F8"/>
      <c r="H8"/>
      <c r="I8" s="3"/>
    </row>
    <row r="9" spans="2:12">
      <c r="D9" s="3"/>
      <c r="G9" s="112" t="s">
        <v>75</v>
      </c>
      <c r="H9" s="113"/>
    </row>
    <row r="10" spans="2:12">
      <c r="D10" s="3"/>
      <c r="E10" s="6" t="s">
        <v>76</v>
      </c>
      <c r="F10" s="6" t="s">
        <v>77</v>
      </c>
      <c r="G10" s="60" t="s">
        <v>78</v>
      </c>
      <c r="H10" s="60" t="s">
        <v>79</v>
      </c>
      <c r="I10" s="3"/>
    </row>
    <row r="11" spans="2:12">
      <c r="D11" s="3"/>
      <c r="E11" s="56">
        <v>0</v>
      </c>
      <c r="F11" s="70">
        <f>-C8</f>
        <v>-350000</v>
      </c>
      <c r="G11" s="61">
        <v>0</v>
      </c>
      <c r="H11" s="61">
        <v>0</v>
      </c>
      <c r="I11" s="3"/>
    </row>
    <row r="12" spans="2:12">
      <c r="D12" s="3"/>
      <c r="E12" s="56">
        <v>1</v>
      </c>
      <c r="F12" s="70">
        <f>H3</f>
        <v>-257941.24510182065</v>
      </c>
      <c r="G12" s="71">
        <f>-PV($C$6,E12,,F12)</f>
        <v>-214951.03758485054</v>
      </c>
      <c r="H12" s="71">
        <f>G12+H11</f>
        <v>-214951.03758485054</v>
      </c>
      <c r="I12" s="3"/>
    </row>
    <row r="13" spans="2:12">
      <c r="D13" s="3"/>
      <c r="E13" s="56">
        <v>2</v>
      </c>
      <c r="F13" s="70">
        <f>H4</f>
        <v>-117265.16200001171</v>
      </c>
      <c r="G13" s="71">
        <f>PV($C$6,E13,,-F13)</f>
        <v>-81434.140277785918</v>
      </c>
      <c r="H13" s="71">
        <f>G13+H12</f>
        <v>-296385.17786263645</v>
      </c>
      <c r="I13" s="3"/>
    </row>
    <row r="14" spans="2:12">
      <c r="D14" s="3"/>
      <c r="E14" s="56">
        <v>3</v>
      </c>
      <c r="F14" s="57">
        <f>H5</f>
        <v>332194.83799998433</v>
      </c>
      <c r="G14" s="61">
        <f>PV($C$6,E14,,-F14)</f>
        <v>192242.38310184277</v>
      </c>
      <c r="H14" s="71">
        <f>G14+H13</f>
        <v>-104142.79476079368</v>
      </c>
      <c r="I14" s="3"/>
    </row>
    <row r="15" spans="2:12">
      <c r="D15" s="3"/>
      <c r="E15" s="56">
        <v>4</v>
      </c>
      <c r="F15" s="57">
        <f>H6</f>
        <v>780792.03799998434</v>
      </c>
      <c r="G15" s="61">
        <f>PV($C$6,E15,,-F15)</f>
        <v>376539.37017746159</v>
      </c>
      <c r="H15" s="62">
        <f>G15+H14</f>
        <v>272396.57541666791</v>
      </c>
      <c r="I15" s="3"/>
      <c r="J15" s="60" t="s">
        <v>80</v>
      </c>
      <c r="K15" s="61">
        <f>(-F11-H15)</f>
        <v>77603.424583332089</v>
      </c>
    </row>
    <row r="16" spans="2:12">
      <c r="D16" s="3"/>
      <c r="E16" s="56">
        <v>5</v>
      </c>
      <c r="F16" s="57">
        <f>H7</f>
        <v>1769532.5179999829</v>
      </c>
      <c r="G16" s="61">
        <f>PV($C$6,E16,,-F16)</f>
        <v>711135.43193800759</v>
      </c>
      <c r="H16" s="67">
        <f>G16+H15</f>
        <v>983532.00735467556</v>
      </c>
      <c r="I16" s="3"/>
      <c r="J16" s="60" t="s">
        <v>81</v>
      </c>
      <c r="K16" s="61">
        <f>H16-H15</f>
        <v>711135.43193800771</v>
      </c>
    </row>
    <row r="17" spans="4:13">
      <c r="D17" s="3"/>
      <c r="H17"/>
      <c r="I17" s="3"/>
      <c r="J17" s="60" t="s">
        <v>82</v>
      </c>
      <c r="K17" s="63">
        <f>K15/K16</f>
        <v>0.1091260835813579</v>
      </c>
    </row>
    <row r="18" spans="4:13">
      <c r="D18" s="3"/>
      <c r="H18"/>
      <c r="I18" s="3"/>
    </row>
    <row r="19" spans="4:13">
      <c r="D19" s="3"/>
      <c r="H19"/>
      <c r="I19" s="3"/>
    </row>
    <row r="20" spans="4:13">
      <c r="D20" s="3"/>
      <c r="E20" s="110" t="s">
        <v>83</v>
      </c>
      <c r="F20" s="111"/>
      <c r="H20" s="6" t="s">
        <v>84</v>
      </c>
      <c r="I20" s="3"/>
    </row>
    <row r="21" spans="4:13">
      <c r="D21" s="3"/>
      <c r="E21" s="13" t="s">
        <v>85</v>
      </c>
      <c r="F21" s="1">
        <f>NPV($C$6,F12:F16)</f>
        <v>983532.00735467544</v>
      </c>
      <c r="H21"/>
      <c r="I21" s="3"/>
    </row>
    <row r="22" spans="4:13">
      <c r="D22" s="3"/>
      <c r="E22" s="13" t="s">
        <v>44</v>
      </c>
      <c r="F22" s="1">
        <f>NPV($C$6,F12:F16)+F11</f>
        <v>633532.00735467544</v>
      </c>
      <c r="H22"/>
      <c r="I22" s="3"/>
    </row>
    <row r="23" spans="4:13">
      <c r="D23" s="3"/>
      <c r="E23" s="13" t="s">
        <v>86</v>
      </c>
      <c r="F23" s="1">
        <f>PMT($C$6,E16,-F22)</f>
        <v>211840.24464373069</v>
      </c>
      <c r="H23"/>
      <c r="I23" s="3"/>
    </row>
    <row r="24" spans="4:13">
      <c r="D24" s="3"/>
      <c r="E24" s="13" t="s">
        <v>87</v>
      </c>
      <c r="F24" s="41">
        <f>F21/-F11</f>
        <v>2.8100914495847871</v>
      </c>
      <c r="G24" s="3"/>
      <c r="H24"/>
      <c r="I24" s="3"/>
      <c r="K24"/>
    </row>
    <row r="25" spans="4:13">
      <c r="D25" s="3"/>
      <c r="E25" s="13" t="s">
        <v>88</v>
      </c>
      <c r="F25" s="40">
        <f>RATE(E16,,-1,F24)</f>
        <v>0.22954404486780047</v>
      </c>
      <c r="H25"/>
      <c r="I25" s="3"/>
      <c r="L25" s="3"/>
    </row>
    <row r="26" spans="4:13">
      <c r="D26" s="3"/>
      <c r="E26" s="13" t="s">
        <v>89</v>
      </c>
      <c r="F26" s="39">
        <f>E15+K17</f>
        <v>4.1091260835813577</v>
      </c>
      <c r="H26"/>
      <c r="I26" s="3"/>
      <c r="L26" s="3"/>
    </row>
    <row r="27" spans="4:13">
      <c r="D27" s="3"/>
      <c r="E27" s="13" t="s">
        <v>90</v>
      </c>
      <c r="F27" s="40">
        <f>IRR(F11:F16)</f>
        <v>0.4354220702562055</v>
      </c>
      <c r="G27" s="3"/>
      <c r="H27"/>
      <c r="I27" s="3"/>
      <c r="K27"/>
      <c r="M27" s="76"/>
    </row>
    <row r="28" spans="4:13">
      <c r="D28" s="3"/>
      <c r="G28" s="3"/>
      <c r="H28"/>
      <c r="I28" s="3"/>
      <c r="K28"/>
    </row>
    <row r="29" spans="4:13">
      <c r="D29" s="3"/>
      <c r="G29" s="3"/>
      <c r="H29"/>
      <c r="I29" s="3"/>
      <c r="K29"/>
    </row>
    <row r="60" spans="15:15">
      <c r="O60" s="2">
        <f>NPV('[1]Real '!$B$3,N46:N57)</f>
        <v>0</v>
      </c>
    </row>
  </sheetData>
  <mergeCells count="3">
    <mergeCell ref="B2:C2"/>
    <mergeCell ref="E20:F20"/>
    <mergeCell ref="G9:H9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3C791-D5BC-446A-A80B-5D727F45622E}">
  <dimension ref="A1:O60"/>
  <sheetViews>
    <sheetView zoomScale="70" zoomScaleNormal="70" workbookViewId="0">
      <selection activeCell="E28" sqref="E22:E28"/>
    </sheetView>
  </sheetViews>
  <sheetFormatPr defaultRowHeight="15"/>
  <cols>
    <col min="1" max="1" width="4.42578125" style="3" customWidth="1"/>
    <col min="2" max="2" width="19.85546875" customWidth="1"/>
    <col min="3" max="3" width="15" customWidth="1"/>
    <col min="4" max="4" width="4.140625" customWidth="1"/>
    <col min="5" max="5" width="19.42578125" customWidth="1"/>
    <col min="6" max="6" width="17.140625" style="3" bestFit="1" customWidth="1"/>
    <col min="7" max="7" width="20.28515625" customWidth="1"/>
    <col min="8" max="8" width="20.7109375" style="3" customWidth="1"/>
    <col min="9" max="9" width="4.140625" customWidth="1"/>
    <col min="10" max="10" width="28.28515625" customWidth="1"/>
    <col min="11" max="11" width="19.140625" style="3" customWidth="1"/>
    <col min="12" max="12" width="4.140625" customWidth="1"/>
    <col min="13" max="13" width="16.85546875" customWidth="1"/>
    <col min="14" max="15" width="13.7109375" bestFit="1" customWidth="1"/>
  </cols>
  <sheetData>
    <row r="1" spans="2:12">
      <c r="D1" s="3"/>
      <c r="F1"/>
      <c r="G1" s="3"/>
      <c r="H1"/>
      <c r="I1" s="3"/>
      <c r="K1"/>
      <c r="L1" s="3"/>
    </row>
    <row r="2" spans="2:12" ht="18.75">
      <c r="B2" s="109" t="s">
        <v>91</v>
      </c>
      <c r="C2" s="109"/>
      <c r="D2" s="42"/>
      <c r="E2" s="64"/>
      <c r="F2" s="64" t="s">
        <v>68</v>
      </c>
      <c r="G2" s="64" t="s">
        <v>69</v>
      </c>
      <c r="H2" s="64" t="s">
        <v>70</v>
      </c>
      <c r="I2" s="42"/>
    </row>
    <row r="3" spans="2:12">
      <c r="B3" s="5" t="s">
        <v>52</v>
      </c>
      <c r="C3" s="40">
        <v>-0.15</v>
      </c>
      <c r="D3" s="42"/>
      <c r="E3" s="64" t="s">
        <v>18</v>
      </c>
      <c r="F3" s="65">
        <f>Receitas!H9*(1+C3)</f>
        <v>0</v>
      </c>
      <c r="G3" s="61">
        <f>Despesas!J44*(1+C4)</f>
        <v>257941.24510182065</v>
      </c>
      <c r="H3" s="65">
        <f>F3-G3</f>
        <v>-257941.24510182065</v>
      </c>
      <c r="I3" s="42"/>
    </row>
    <row r="4" spans="2:12">
      <c r="B4" s="5" t="s">
        <v>69</v>
      </c>
      <c r="C4" s="40">
        <v>0</v>
      </c>
      <c r="D4" s="43"/>
      <c r="E4" s="64" t="s">
        <v>19</v>
      </c>
      <c r="F4" s="65">
        <f>(Receitas!O39)*(1+C3)</f>
        <v>164505.60000000001</v>
      </c>
      <c r="G4" s="61">
        <f>Despesas!N44*(1+C4)</f>
        <v>310801.16200001171</v>
      </c>
      <c r="H4" s="65">
        <f t="shared" ref="H4:H7" si="0">F4-G4</f>
        <v>-146295.56200001171</v>
      </c>
      <c r="I4" s="43"/>
    </row>
    <row r="5" spans="2:12">
      <c r="D5" s="3"/>
      <c r="E5" s="64" t="s">
        <v>20</v>
      </c>
      <c r="F5" s="65">
        <f>Receitas!S39*(1+C3)</f>
        <v>634521.59999999998</v>
      </c>
      <c r="G5" s="61">
        <f>Despesas!R46*(1+C4)</f>
        <v>414301.16200001567</v>
      </c>
      <c r="H5" s="65">
        <f t="shared" si="0"/>
        <v>220220.43799998431</v>
      </c>
      <c r="I5" s="3"/>
      <c r="J5" s="66"/>
    </row>
    <row r="6" spans="2:12">
      <c r="B6" s="44" t="s">
        <v>72</v>
      </c>
      <c r="C6" s="38">
        <v>0.2</v>
      </c>
      <c r="D6" s="3"/>
      <c r="E6" s="64" t="s">
        <v>21</v>
      </c>
      <c r="F6" s="65">
        <f>Receitas!W39*(1+C3)</f>
        <v>1019934.7200000001</v>
      </c>
      <c r="G6" s="61">
        <f>Despesas!V46*(1+C4)</f>
        <v>419131.16200001584</v>
      </c>
      <c r="H6" s="65">
        <f t="shared" si="0"/>
        <v>600803.55799998424</v>
      </c>
      <c r="I6" s="3"/>
    </row>
    <row r="7" spans="2:12">
      <c r="B7" s="44" t="s">
        <v>73</v>
      </c>
      <c r="C7" s="38">
        <f>RATE(12,,-1,1.15)</f>
        <v>1.1714916919856577E-2</v>
      </c>
      <c r="D7" s="3"/>
      <c r="E7" s="64" t="s">
        <v>22</v>
      </c>
      <c r="F7" s="65">
        <f>Receitas!AA39*(1+C3)</f>
        <v>1883824.1279999998</v>
      </c>
      <c r="G7" s="61">
        <f>Despesas!Z46*(1+C4)</f>
        <v>446731.16200001689</v>
      </c>
      <c r="H7" s="65">
        <f t="shared" si="0"/>
        <v>1437092.9659999828</v>
      </c>
      <c r="I7" s="3"/>
    </row>
    <row r="8" spans="2:12">
      <c r="B8" s="44" t="s">
        <v>74</v>
      </c>
      <c r="C8" s="4">
        <f>Investimento!R5</f>
        <v>350000</v>
      </c>
      <c r="D8" s="3"/>
      <c r="F8"/>
      <c r="H8"/>
      <c r="I8" s="3"/>
    </row>
    <row r="9" spans="2:12">
      <c r="D9" s="3"/>
      <c r="G9" s="112" t="s">
        <v>92</v>
      </c>
      <c r="H9" s="113"/>
    </row>
    <row r="10" spans="2:12">
      <c r="D10" s="3"/>
      <c r="E10" s="6" t="s">
        <v>76</v>
      </c>
      <c r="F10" s="6" t="s">
        <v>77</v>
      </c>
      <c r="G10" s="60" t="s">
        <v>78</v>
      </c>
      <c r="H10" s="60" t="s">
        <v>79</v>
      </c>
      <c r="I10" s="3"/>
    </row>
    <row r="11" spans="2:12">
      <c r="D11" s="3"/>
      <c r="E11" s="56">
        <v>0</v>
      </c>
      <c r="F11" s="70">
        <f>-C8</f>
        <v>-350000</v>
      </c>
      <c r="G11" s="61">
        <v>0</v>
      </c>
      <c r="H11" s="61">
        <v>0</v>
      </c>
      <c r="I11" s="3"/>
    </row>
    <row r="12" spans="2:12">
      <c r="D12" s="3"/>
      <c r="E12" s="56">
        <v>1</v>
      </c>
      <c r="F12" s="70">
        <f>H3</f>
        <v>-257941.24510182065</v>
      </c>
      <c r="G12" s="71">
        <f>-PV($C$6,E12,,F12)</f>
        <v>-214951.03758485054</v>
      </c>
      <c r="H12" s="71">
        <f>G12+H11</f>
        <v>-214951.03758485054</v>
      </c>
      <c r="I12" s="3"/>
    </row>
    <row r="13" spans="2:12">
      <c r="D13" s="3"/>
      <c r="E13" s="56">
        <v>2</v>
      </c>
      <c r="F13" s="70">
        <f>H4</f>
        <v>-146295.56200001171</v>
      </c>
      <c r="G13" s="71">
        <f>PV($C$6,E13,,-F13)</f>
        <v>-101594.1402777859</v>
      </c>
      <c r="H13" s="71">
        <f>G13+H12</f>
        <v>-316545.17786263645</v>
      </c>
      <c r="I13" s="3"/>
    </row>
    <row r="14" spans="2:12">
      <c r="D14" s="3"/>
      <c r="E14" s="56">
        <v>3</v>
      </c>
      <c r="F14" s="57">
        <f>H5</f>
        <v>220220.43799998431</v>
      </c>
      <c r="G14" s="61">
        <f>PV($C$6,E14,,-F14)</f>
        <v>127442.38310184277</v>
      </c>
      <c r="H14" s="71">
        <f>G14+H13</f>
        <v>-189102.79476079368</v>
      </c>
      <c r="I14" s="3"/>
    </row>
    <row r="15" spans="2:12">
      <c r="D15" s="3"/>
      <c r="E15" s="56">
        <v>4</v>
      </c>
      <c r="F15" s="57">
        <f>H6</f>
        <v>600803.55799998424</v>
      </c>
      <c r="G15" s="61">
        <f>PV($C$6,E15,,-F15)</f>
        <v>289739.37017746153</v>
      </c>
      <c r="H15" s="62">
        <f>G15+H14</f>
        <v>100636.57541666785</v>
      </c>
      <c r="I15" s="3"/>
      <c r="J15" s="60" t="s">
        <v>80</v>
      </c>
      <c r="K15" s="61">
        <f>(-F11-H16)*-1</f>
        <v>328172.00735467533</v>
      </c>
    </row>
    <row r="16" spans="2:12">
      <c r="D16" s="3"/>
      <c r="E16" s="56">
        <v>5</v>
      </c>
      <c r="F16" s="57">
        <f>H7</f>
        <v>1437092.9659999828</v>
      </c>
      <c r="G16" s="61">
        <f>PV($C$6,E16,,-F16)</f>
        <v>577535.43193800747</v>
      </c>
      <c r="H16" s="67">
        <f>G16+H15</f>
        <v>678172.00735467533</v>
      </c>
      <c r="I16" s="3"/>
      <c r="J16" s="60" t="s">
        <v>81</v>
      </c>
      <c r="K16" s="61">
        <f>H16-H15</f>
        <v>577535.43193800747</v>
      </c>
    </row>
    <row r="17" spans="4:12">
      <c r="D17" s="3"/>
      <c r="H17"/>
      <c r="I17" s="3"/>
      <c r="J17" s="60" t="s">
        <v>82</v>
      </c>
      <c r="K17" s="63">
        <f>K15/K16</f>
        <v>0.56822835311323594</v>
      </c>
    </row>
    <row r="18" spans="4:12">
      <c r="D18" s="3"/>
      <c r="H18"/>
      <c r="I18" s="3"/>
    </row>
    <row r="19" spans="4:12">
      <c r="D19" s="3"/>
      <c r="H19"/>
      <c r="I19" s="3"/>
    </row>
    <row r="20" spans="4:12">
      <c r="D20" s="3"/>
      <c r="H20"/>
      <c r="I20" s="3"/>
    </row>
    <row r="21" spans="4:12">
      <c r="D21" s="3"/>
      <c r="E21" s="110" t="s">
        <v>83</v>
      </c>
      <c r="F21" s="111"/>
      <c r="H21" s="6" t="s">
        <v>84</v>
      </c>
      <c r="I21" s="3"/>
    </row>
    <row r="22" spans="4:12">
      <c r="D22" s="3"/>
      <c r="E22" s="13" t="s">
        <v>85</v>
      </c>
      <c r="F22" s="1">
        <f>NPV($C$6,F12:F16)</f>
        <v>678172.00735467544</v>
      </c>
      <c r="H22"/>
      <c r="I22" s="3"/>
    </row>
    <row r="23" spans="4:12">
      <c r="D23" s="3"/>
      <c r="E23" s="13" t="s">
        <v>44</v>
      </c>
      <c r="F23" s="1">
        <f>NPV($C$6,F12:F16)+F11</f>
        <v>328172.00735467544</v>
      </c>
      <c r="H23"/>
      <c r="I23" s="3"/>
    </row>
    <row r="24" spans="4:12">
      <c r="D24" s="3"/>
      <c r="E24" s="13" t="s">
        <v>86</v>
      </c>
      <c r="F24" s="1">
        <f>PMT($C$6,E16,-F23)</f>
        <v>109734.05844721379</v>
      </c>
      <c r="H24"/>
      <c r="I24" s="3"/>
      <c r="L24" s="3"/>
    </row>
    <row r="25" spans="4:12">
      <c r="D25" s="3"/>
      <c r="E25" s="13" t="s">
        <v>87</v>
      </c>
      <c r="F25" s="41">
        <f>F22/-F11</f>
        <v>1.937634306727644</v>
      </c>
      <c r="H25"/>
      <c r="I25" s="3"/>
      <c r="L25" s="3"/>
    </row>
    <row r="26" spans="4:12">
      <c r="D26" s="3"/>
      <c r="E26" s="13" t="s">
        <v>88</v>
      </c>
      <c r="F26" s="40">
        <f>RATE(E16,,-1,F25)</f>
        <v>0.14144335207229089</v>
      </c>
      <c r="H26"/>
      <c r="I26" s="3"/>
      <c r="L26" s="3"/>
    </row>
    <row r="27" spans="4:12">
      <c r="D27" s="3"/>
      <c r="E27" s="13" t="s">
        <v>89</v>
      </c>
      <c r="F27" s="39">
        <f>E15+K17</f>
        <v>4.5682283531132359</v>
      </c>
      <c r="G27" s="3"/>
      <c r="H27"/>
      <c r="I27" s="3"/>
      <c r="K27"/>
    </row>
    <row r="28" spans="4:12">
      <c r="D28" s="3"/>
      <c r="E28" s="13" t="s">
        <v>90</v>
      </c>
      <c r="F28" s="40">
        <f>IRR(F11:F16)</f>
        <v>0.33237722030880268</v>
      </c>
      <c r="G28" s="3"/>
      <c r="H28"/>
      <c r="I28" s="3"/>
      <c r="K28"/>
    </row>
    <row r="29" spans="4:12">
      <c r="D29" s="3"/>
      <c r="F29"/>
      <c r="G29" s="3"/>
      <c r="H29"/>
      <c r="I29" s="3"/>
      <c r="K29"/>
    </row>
    <row r="60" spans="15:15">
      <c r="O60" s="2">
        <f>NPV('[1]Real '!$B$3,N46:N57)</f>
        <v>0</v>
      </c>
    </row>
  </sheetData>
  <mergeCells count="3">
    <mergeCell ref="B2:C2"/>
    <mergeCell ref="E21:F21"/>
    <mergeCell ref="G9:H9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52494-2B90-4041-A34C-A0BF94021753}">
  <dimension ref="A1:O60"/>
  <sheetViews>
    <sheetView zoomScale="70" zoomScaleNormal="70" workbookViewId="0">
      <selection activeCell="E28" sqref="E22:E28"/>
    </sheetView>
  </sheetViews>
  <sheetFormatPr defaultRowHeight="15"/>
  <cols>
    <col min="1" max="1" width="4.42578125" style="3" customWidth="1"/>
    <col min="2" max="2" width="19.85546875" customWidth="1"/>
    <col min="3" max="3" width="15" customWidth="1"/>
    <col min="4" max="4" width="4.140625" customWidth="1"/>
    <col min="5" max="5" width="19.42578125" customWidth="1"/>
    <col min="6" max="6" width="17.42578125" style="3" bestFit="1" customWidth="1"/>
    <col min="7" max="7" width="20.28515625" customWidth="1"/>
    <col min="8" max="8" width="20.7109375" style="3" customWidth="1"/>
    <col min="9" max="9" width="4.140625" customWidth="1"/>
    <col min="10" max="10" width="28.28515625" customWidth="1"/>
    <col min="11" max="11" width="19.140625" style="3" customWidth="1"/>
    <col min="12" max="12" width="4.140625" customWidth="1"/>
    <col min="13" max="13" width="16.85546875" customWidth="1"/>
    <col min="14" max="15" width="13.7109375" bestFit="1" customWidth="1"/>
  </cols>
  <sheetData>
    <row r="1" spans="2:12">
      <c r="D1" s="3"/>
      <c r="F1"/>
      <c r="G1" s="3"/>
      <c r="H1"/>
      <c r="I1" s="3"/>
      <c r="K1"/>
      <c r="L1" s="3"/>
    </row>
    <row r="2" spans="2:12" ht="18.75">
      <c r="B2" s="109" t="s">
        <v>91</v>
      </c>
      <c r="C2" s="109"/>
      <c r="D2" s="42"/>
      <c r="E2" s="64"/>
      <c r="F2" s="64" t="s">
        <v>68</v>
      </c>
      <c r="G2" s="64" t="s">
        <v>69</v>
      </c>
      <c r="H2" s="64" t="s">
        <v>70</v>
      </c>
      <c r="I2" s="42"/>
    </row>
    <row r="3" spans="2:12">
      <c r="B3" s="5" t="s">
        <v>52</v>
      </c>
      <c r="C3" s="40">
        <v>0.15</v>
      </c>
      <c r="D3" s="42"/>
      <c r="E3" s="64" t="s">
        <v>18</v>
      </c>
      <c r="F3" s="65">
        <f>Receitas!H9*(1+C3)</f>
        <v>0</v>
      </c>
      <c r="G3" s="61">
        <f>Despesas!J44</f>
        <v>257941.24510182065</v>
      </c>
      <c r="H3" s="65">
        <f>F3-G3</f>
        <v>-257941.24510182065</v>
      </c>
      <c r="I3" s="42"/>
    </row>
    <row r="4" spans="2:12">
      <c r="B4" s="5" t="s">
        <v>69</v>
      </c>
      <c r="C4" s="45">
        <v>0</v>
      </c>
      <c r="D4" s="43"/>
      <c r="E4" s="64" t="s">
        <v>19</v>
      </c>
      <c r="F4" s="65">
        <f>(Receitas!O39)*(1+C3)</f>
        <v>222566.39999999999</v>
      </c>
      <c r="G4" s="61">
        <f>Despesas!N44</f>
        <v>310801.16200001171</v>
      </c>
      <c r="H4" s="65">
        <f t="shared" ref="H4:H7" si="0">F4-G4</f>
        <v>-88234.762000011717</v>
      </c>
      <c r="I4" s="43"/>
    </row>
    <row r="5" spans="2:12">
      <c r="D5" s="3"/>
      <c r="E5" s="64" t="s">
        <v>20</v>
      </c>
      <c r="F5" s="65">
        <f>Receitas!S39*(1+C3)</f>
        <v>858470.39999999991</v>
      </c>
      <c r="G5" s="61">
        <f>Despesas!R46</f>
        <v>414301.16200001567</v>
      </c>
      <c r="H5" s="65">
        <f t="shared" si="0"/>
        <v>444169.23799998424</v>
      </c>
      <c r="I5" s="3"/>
      <c r="J5" s="66"/>
    </row>
    <row r="6" spans="2:12">
      <c r="B6" s="44" t="s">
        <v>72</v>
      </c>
      <c r="C6" s="38">
        <v>0.2</v>
      </c>
      <c r="D6" s="3"/>
      <c r="E6" s="64" t="s">
        <v>21</v>
      </c>
      <c r="F6" s="65">
        <f>Receitas!W39*(1+C3)</f>
        <v>1379911.6800000002</v>
      </c>
      <c r="G6" s="61">
        <f>Despesas!V46</f>
        <v>419131.16200001584</v>
      </c>
      <c r="H6" s="65">
        <f t="shared" si="0"/>
        <v>960780.51799998432</v>
      </c>
      <c r="I6" s="3"/>
    </row>
    <row r="7" spans="2:12">
      <c r="B7" s="44" t="s">
        <v>73</v>
      </c>
      <c r="C7" s="38">
        <f>RATE(12,,-1,1.15)</f>
        <v>1.1714916919856577E-2</v>
      </c>
      <c r="D7" s="3"/>
      <c r="E7" s="64" t="s">
        <v>22</v>
      </c>
      <c r="F7" s="65">
        <f>Receitas!AA39*(1+C3)</f>
        <v>2548703.2319999994</v>
      </c>
      <c r="G7" s="61">
        <f>Despesas!Z46</f>
        <v>446731.16200001689</v>
      </c>
      <c r="H7" s="65">
        <f t="shared" si="0"/>
        <v>2101972.0699999826</v>
      </c>
      <c r="I7" s="3"/>
    </row>
    <row r="8" spans="2:12">
      <c r="B8" s="44" t="s">
        <v>74</v>
      </c>
      <c r="C8" s="4">
        <f>Investimento!R5</f>
        <v>350000</v>
      </c>
      <c r="D8" s="3"/>
      <c r="F8"/>
      <c r="H8"/>
      <c r="I8" s="3"/>
    </row>
    <row r="9" spans="2:12">
      <c r="D9" s="3"/>
      <c r="G9" s="112" t="s">
        <v>92</v>
      </c>
      <c r="H9" s="113"/>
    </row>
    <row r="10" spans="2:12">
      <c r="D10" s="3"/>
      <c r="E10" s="6" t="s">
        <v>76</v>
      </c>
      <c r="F10" s="6" t="s">
        <v>77</v>
      </c>
      <c r="G10" s="60" t="s">
        <v>78</v>
      </c>
      <c r="H10" s="60" t="s">
        <v>79</v>
      </c>
      <c r="I10" s="3"/>
    </row>
    <row r="11" spans="2:12">
      <c r="D11" s="3"/>
      <c r="E11" s="56">
        <v>0</v>
      </c>
      <c r="F11" s="70">
        <f>-C8</f>
        <v>-350000</v>
      </c>
      <c r="G11" s="61">
        <v>0</v>
      </c>
      <c r="H11" s="61">
        <v>0</v>
      </c>
      <c r="I11" s="3"/>
    </row>
    <row r="12" spans="2:12">
      <c r="D12" s="3"/>
      <c r="E12" s="56">
        <v>1</v>
      </c>
      <c r="F12" s="70">
        <f>H3</f>
        <v>-257941.24510182065</v>
      </c>
      <c r="G12" s="71">
        <f>-PV($C$6,E12,,F12)</f>
        <v>-214951.03758485054</v>
      </c>
      <c r="H12" s="71">
        <f>G12+H11</f>
        <v>-214951.03758485054</v>
      </c>
      <c r="I12" s="3"/>
    </row>
    <row r="13" spans="2:12">
      <c r="D13" s="3"/>
      <c r="E13" s="56">
        <v>2</v>
      </c>
      <c r="F13" s="70">
        <f>H4</f>
        <v>-88234.762000011717</v>
      </c>
      <c r="G13" s="71">
        <f>PV($C$6,E13,,-F13)</f>
        <v>-61274.140277785918</v>
      </c>
      <c r="H13" s="71">
        <f>G13+H12</f>
        <v>-276225.17786263645</v>
      </c>
      <c r="I13" s="3"/>
    </row>
    <row r="14" spans="2:12">
      <c r="D14" s="3"/>
      <c r="E14" s="56">
        <v>3</v>
      </c>
      <c r="F14" s="57">
        <f>H5</f>
        <v>444169.23799998424</v>
      </c>
      <c r="G14" s="61">
        <f>PV($C$6,E14,,-F14)</f>
        <v>257042.38310184274</v>
      </c>
      <c r="H14" s="72">
        <f>G14+H13</f>
        <v>-19182.794760793709</v>
      </c>
      <c r="I14" s="3"/>
    </row>
    <row r="15" spans="2:12">
      <c r="D15" s="3"/>
      <c r="E15" s="56">
        <v>4</v>
      </c>
      <c r="F15" s="57">
        <f>H6</f>
        <v>960780.51799998432</v>
      </c>
      <c r="G15" s="61">
        <f>PV($C$6,E15,,-F15)</f>
        <v>463339.37017746159</v>
      </c>
      <c r="H15" s="67">
        <f>G15+H14</f>
        <v>444156.57541666785</v>
      </c>
      <c r="I15" s="3"/>
      <c r="J15" s="60" t="s">
        <v>80</v>
      </c>
      <c r="K15" s="61">
        <f>(-F11-H14)</f>
        <v>369182.79476079368</v>
      </c>
    </row>
    <row r="16" spans="2:12">
      <c r="D16" s="3"/>
      <c r="E16" s="56">
        <v>5</v>
      </c>
      <c r="F16" s="57">
        <f>H7</f>
        <v>2101972.0699999826</v>
      </c>
      <c r="G16" s="61">
        <f>PV($C$6,E16,,-F16)</f>
        <v>844735.43193800747</v>
      </c>
      <c r="H16" s="61">
        <f>G16+H15</f>
        <v>1288892.0073546753</v>
      </c>
      <c r="I16" s="3"/>
      <c r="J16" s="60" t="s">
        <v>81</v>
      </c>
      <c r="K16" s="61">
        <f>H15-H14</f>
        <v>463339.37017746153</v>
      </c>
    </row>
    <row r="17" spans="4:12">
      <c r="D17" s="3"/>
      <c r="H17"/>
      <c r="I17" s="3"/>
      <c r="J17" s="60" t="s">
        <v>82</v>
      </c>
      <c r="K17" s="63">
        <f>K15/K16</f>
        <v>0.79678701729877743</v>
      </c>
    </row>
    <row r="18" spans="4:12">
      <c r="D18" s="3"/>
      <c r="H18"/>
      <c r="I18" s="3"/>
    </row>
    <row r="19" spans="4:12">
      <c r="D19" s="3"/>
      <c r="H19"/>
      <c r="I19" s="3"/>
    </row>
    <row r="20" spans="4:12">
      <c r="D20" s="3"/>
      <c r="H20"/>
      <c r="I20" s="69"/>
    </row>
    <row r="21" spans="4:12">
      <c r="D21" s="3"/>
      <c r="E21" s="110" t="s">
        <v>83</v>
      </c>
      <c r="F21" s="111"/>
      <c r="H21" s="6" t="s">
        <v>84</v>
      </c>
      <c r="I21" s="3"/>
    </row>
    <row r="22" spans="4:12">
      <c r="D22" s="3"/>
      <c r="E22" s="13" t="s">
        <v>85</v>
      </c>
      <c r="F22" s="1">
        <f>NPV($C$6,F12:F16)</f>
        <v>1288892.0073546753</v>
      </c>
      <c r="H22"/>
      <c r="I22" s="3"/>
    </row>
    <row r="23" spans="4:12">
      <c r="D23" s="3"/>
      <c r="E23" s="13" t="s">
        <v>44</v>
      </c>
      <c r="F23" s="1">
        <f>NPV($C$6,F12:F16)+F11</f>
        <v>938892.00735467533</v>
      </c>
      <c r="H23"/>
      <c r="I23" s="3"/>
    </row>
    <row r="24" spans="4:12">
      <c r="D24" s="3"/>
      <c r="E24" s="13" t="s">
        <v>86</v>
      </c>
      <c r="F24" s="1">
        <f>PMT($C$6,E16,-F23)</f>
        <v>313946.43084024749</v>
      </c>
      <c r="H24"/>
      <c r="I24" s="3"/>
      <c r="L24" s="3"/>
    </row>
    <row r="25" spans="4:12">
      <c r="D25" s="3"/>
      <c r="E25" s="13" t="s">
        <v>87</v>
      </c>
      <c r="F25" s="41">
        <f>F22/-F11</f>
        <v>3.6825485924419294</v>
      </c>
      <c r="H25"/>
      <c r="I25" s="3"/>
      <c r="L25" s="3"/>
    </row>
    <row r="26" spans="4:12">
      <c r="D26" s="3"/>
      <c r="E26" s="13" t="s">
        <v>88</v>
      </c>
      <c r="F26" s="40">
        <f>RATE(E16,,-1,F25)</f>
        <v>0.29786552725085841</v>
      </c>
      <c r="H26"/>
      <c r="I26" s="3"/>
      <c r="L26" s="3"/>
    </row>
    <row r="27" spans="4:12">
      <c r="D27" s="3"/>
      <c r="E27" s="13" t="s">
        <v>89</v>
      </c>
      <c r="F27" s="39">
        <f>E14+K17</f>
        <v>3.7967870172987777</v>
      </c>
      <c r="G27" s="3"/>
      <c r="H27"/>
      <c r="I27" s="3"/>
      <c r="K27"/>
    </row>
    <row r="28" spans="4:12">
      <c r="D28" s="3"/>
      <c r="E28" s="13" t="s">
        <v>90</v>
      </c>
      <c r="F28" s="40">
        <f>IRR(F11:F16)</f>
        <v>0.52546491937684703</v>
      </c>
      <c r="G28" s="3"/>
      <c r="H28"/>
      <c r="I28" s="3"/>
      <c r="K28"/>
    </row>
    <row r="29" spans="4:12">
      <c r="D29" s="3"/>
      <c r="F29"/>
      <c r="G29" s="3"/>
      <c r="H29"/>
      <c r="I29" s="3"/>
      <c r="K29"/>
    </row>
    <row r="60" spans="15:15">
      <c r="O60" s="2">
        <f>NPV('[1]Real '!$B$3,N46:N57)</f>
        <v>0</v>
      </c>
    </row>
  </sheetData>
  <mergeCells count="3">
    <mergeCell ref="B2:C2"/>
    <mergeCell ref="G9:H9"/>
    <mergeCell ref="E21:F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5173C-C623-4B79-BA31-876C5539D32B}">
  <dimension ref="A2:I11"/>
  <sheetViews>
    <sheetView tabSelected="1" zoomScale="70" zoomScaleNormal="70" workbookViewId="0">
      <selection activeCell="F8" activeCellId="1" sqref="I8 F8"/>
    </sheetView>
  </sheetViews>
  <sheetFormatPr defaultRowHeight="15"/>
  <cols>
    <col min="1" max="1" width="4.42578125" style="3" customWidth="1"/>
    <col min="2" max="2" width="16.7109375" customWidth="1"/>
    <col min="3" max="3" width="18.7109375" customWidth="1"/>
    <col min="4" max="4" width="4.42578125" style="3" customWidth="1"/>
    <col min="5" max="5" width="14.7109375" customWidth="1"/>
    <col min="6" max="6" width="18.7109375" customWidth="1"/>
    <col min="7" max="7" width="4.42578125" style="3" customWidth="1"/>
    <col min="8" max="8" width="15.28515625" customWidth="1"/>
    <col min="9" max="9" width="18.7109375" customWidth="1"/>
    <col min="12" max="12" width="15.42578125" bestFit="1" customWidth="1"/>
  </cols>
  <sheetData>
    <row r="2" spans="2:9" ht="18.75">
      <c r="B2" s="109" t="s">
        <v>93</v>
      </c>
      <c r="C2" s="109"/>
    </row>
    <row r="4" spans="2:9">
      <c r="B4" s="5" t="s">
        <v>94</v>
      </c>
      <c r="C4" s="5"/>
      <c r="E4" s="5" t="s">
        <v>95</v>
      </c>
      <c r="F4" s="5"/>
      <c r="H4" s="5" t="s">
        <v>96</v>
      </c>
      <c r="I4" s="5"/>
    </row>
    <row r="5" spans="2:9">
      <c r="B5" s="13" t="s">
        <v>85</v>
      </c>
      <c r="C5" s="1">
        <f>'Cenário Real'!$F21</f>
        <v>983532.00735467544</v>
      </c>
      <c r="E5" s="13" t="s">
        <v>85</v>
      </c>
      <c r="F5" s="1">
        <f>'Cenário Pessimista'!F22</f>
        <v>678172.00735467544</v>
      </c>
      <c r="H5" s="13" t="s">
        <v>85</v>
      </c>
      <c r="I5" s="1">
        <f>'Cenário Otimista'!F22</f>
        <v>1288892.0073546753</v>
      </c>
    </row>
    <row r="6" spans="2:9">
      <c r="B6" s="13" t="s">
        <v>44</v>
      </c>
      <c r="C6" s="1">
        <f>'Cenário Real'!$F22</f>
        <v>633532.00735467544</v>
      </c>
      <c r="E6" s="13" t="s">
        <v>44</v>
      </c>
      <c r="F6" s="1">
        <f>'Cenário Pessimista'!F23</f>
        <v>328172.00735467544</v>
      </c>
      <c r="H6" s="13" t="s">
        <v>44</v>
      </c>
      <c r="I6" s="1">
        <f>'Cenário Otimista'!F23</f>
        <v>938892.00735467533</v>
      </c>
    </row>
    <row r="7" spans="2:9">
      <c r="B7" s="13" t="s">
        <v>86</v>
      </c>
      <c r="C7" s="1">
        <f>'Cenário Real'!$F23</f>
        <v>211840.24464373069</v>
      </c>
      <c r="E7" s="13" t="s">
        <v>86</v>
      </c>
      <c r="F7" s="1">
        <f>'Cenário Pessimista'!F24</f>
        <v>109734.05844721379</v>
      </c>
      <c r="H7" s="13" t="s">
        <v>86</v>
      </c>
      <c r="I7" s="1">
        <f>'Cenário Otimista'!F24</f>
        <v>313946.43084024749</v>
      </c>
    </row>
    <row r="8" spans="2:9">
      <c r="B8" s="13" t="s">
        <v>87</v>
      </c>
      <c r="C8" s="41">
        <f>'Cenário Real'!$F24</f>
        <v>2.8100914495847871</v>
      </c>
      <c r="E8" s="13" t="s">
        <v>87</v>
      </c>
      <c r="F8" s="41">
        <f>'Cenário Pessimista'!F25</f>
        <v>1.937634306727644</v>
      </c>
      <c r="H8" s="13" t="s">
        <v>87</v>
      </c>
      <c r="I8" s="41">
        <f>'Cenário Otimista'!F25</f>
        <v>3.6825485924419294</v>
      </c>
    </row>
    <row r="9" spans="2:9">
      <c r="B9" s="13" t="s">
        <v>88</v>
      </c>
      <c r="C9" s="40">
        <f>'Cenário Real'!$F25</f>
        <v>0.22954404486780047</v>
      </c>
      <c r="E9" s="13" t="s">
        <v>88</v>
      </c>
      <c r="F9" s="40">
        <f>'Cenário Pessimista'!F26</f>
        <v>0.14144335207229089</v>
      </c>
      <c r="H9" s="13" t="s">
        <v>88</v>
      </c>
      <c r="I9" s="40">
        <f>'Cenário Otimista'!F26</f>
        <v>0.29786552725085841</v>
      </c>
    </row>
    <row r="10" spans="2:9">
      <c r="B10" s="13" t="s">
        <v>89</v>
      </c>
      <c r="C10" s="39">
        <f>'Cenário Real'!$F26</f>
        <v>4.1091260835813577</v>
      </c>
      <c r="E10" s="13" t="s">
        <v>89</v>
      </c>
      <c r="F10" s="39">
        <f>'Cenário Pessimista'!F27</f>
        <v>4.5682283531132359</v>
      </c>
      <c r="H10" s="13" t="s">
        <v>89</v>
      </c>
      <c r="I10" s="39">
        <f>'Cenário Otimista'!F27</f>
        <v>3.7967870172987777</v>
      </c>
    </row>
    <row r="11" spans="2:9">
      <c r="B11" s="13" t="s">
        <v>90</v>
      </c>
      <c r="C11" s="40">
        <f>'Cenário Real'!$F27</f>
        <v>0.4354220702562055</v>
      </c>
      <c r="E11" s="13" t="s">
        <v>90</v>
      </c>
      <c r="F11" s="68">
        <f>'Cenário Pessimista'!F28</f>
        <v>0.33237722030880268</v>
      </c>
      <c r="H11" s="13" t="s">
        <v>90</v>
      </c>
      <c r="I11" s="68">
        <f>'Cenário Otimista'!F28</f>
        <v>0.52546491937684703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Pâmela Andressa Lunelli</dc:creator>
  <cp:keywords/>
  <dc:description/>
  <cp:lastModifiedBy/>
  <cp:revision/>
  <dcterms:created xsi:type="dcterms:W3CDTF">2023-06-04T17:50:35Z</dcterms:created>
  <dcterms:modified xsi:type="dcterms:W3CDTF">2023-06-20T00:00:59Z</dcterms:modified>
  <cp:category/>
  <cp:contentStatus/>
</cp:coreProperties>
</file>