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bookViews>
    <workbookView xWindow="0" yWindow="0" windowWidth="20490" windowHeight="7755" firstSheet="1" activeTab="5"/>
  </bookViews>
  <sheets>
    <sheet name="Apresentação" sheetId="2" r:id="rId1"/>
    <sheet name="Investimento" sheetId="1" r:id="rId2"/>
    <sheet name="Receitas" sheetId="3" r:id="rId3"/>
    <sheet name="Cenário Real" sheetId="4" r:id="rId4"/>
    <sheet name="Cenário Otimista" sheetId="5" r:id="rId5"/>
    <sheet name="Cenário Pessimista" sheetId="6" r:id="rId6"/>
    <sheet name="Conclusão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4" l="1"/>
  <c r="S29" i="4"/>
  <c r="S28" i="4"/>
  <c r="G16" i="4"/>
  <c r="C4" i="5"/>
  <c r="C5" i="5"/>
  <c r="C6" i="5"/>
  <c r="C7" i="5"/>
  <c r="C8" i="5"/>
  <c r="C9" i="5"/>
  <c r="C10" i="5"/>
  <c r="C11" i="5"/>
  <c r="C12" i="5"/>
  <c r="C13" i="5"/>
  <c r="C14" i="5"/>
  <c r="C15" i="5"/>
  <c r="Q33" i="6"/>
  <c r="M23" i="4"/>
  <c r="N34" i="6" l="1"/>
  <c r="N33" i="6"/>
  <c r="G34" i="6"/>
  <c r="G33" i="6"/>
  <c r="N34" i="5"/>
  <c r="N33" i="5"/>
  <c r="G34" i="5"/>
  <c r="G33" i="5"/>
  <c r="G34" i="4"/>
  <c r="G33" i="4"/>
  <c r="M6" i="6" l="1"/>
  <c r="M5" i="6"/>
  <c r="M4" i="6"/>
  <c r="F15" i="6"/>
  <c r="F13" i="6"/>
  <c r="F10" i="6"/>
  <c r="F11" i="6"/>
  <c r="E15" i="6"/>
  <c r="E14" i="6"/>
  <c r="E11" i="6"/>
  <c r="E10" i="6"/>
  <c r="E8" i="6"/>
  <c r="E7" i="6"/>
  <c r="E6" i="6"/>
  <c r="E5" i="6"/>
  <c r="D15" i="6"/>
  <c r="D14" i="6"/>
  <c r="D13" i="6"/>
  <c r="D12" i="6"/>
  <c r="D11" i="6"/>
  <c r="D10" i="6"/>
  <c r="D9" i="6"/>
  <c r="D8" i="6"/>
  <c r="D7" i="6"/>
  <c r="D6" i="6"/>
  <c r="D5" i="6"/>
  <c r="D4" i="6"/>
  <c r="C15" i="6"/>
  <c r="C14" i="6"/>
  <c r="C13" i="6"/>
  <c r="C12" i="6"/>
  <c r="C11" i="6"/>
  <c r="C10" i="6"/>
  <c r="C9" i="6"/>
  <c r="C8" i="6"/>
  <c r="C7" i="6"/>
  <c r="C6" i="6"/>
  <c r="C5" i="6"/>
  <c r="C4" i="6"/>
  <c r="F30" i="6"/>
  <c r="F32" i="6"/>
  <c r="F31" i="6"/>
  <c r="M21" i="6"/>
  <c r="M22" i="6"/>
  <c r="M23" i="6"/>
  <c r="M24" i="6"/>
  <c r="M25" i="6"/>
  <c r="M26" i="6"/>
  <c r="M27" i="6"/>
  <c r="M28" i="6"/>
  <c r="M29" i="6"/>
  <c r="M30" i="6"/>
  <c r="M31" i="6"/>
  <c r="M32" i="6"/>
  <c r="L30" i="6"/>
  <c r="L31" i="6"/>
  <c r="L32" i="6"/>
  <c r="K31" i="6"/>
  <c r="K32" i="6"/>
  <c r="J28" i="6"/>
  <c r="J29" i="6"/>
  <c r="J30" i="6"/>
  <c r="J31" i="6"/>
  <c r="J32" i="6"/>
  <c r="D4" i="5"/>
  <c r="D5" i="5"/>
  <c r="D6" i="5"/>
  <c r="D7" i="5"/>
  <c r="D8" i="5"/>
  <c r="D9" i="5"/>
  <c r="D10" i="5"/>
  <c r="D11" i="5"/>
  <c r="D12" i="5"/>
  <c r="D13" i="5"/>
  <c r="D14" i="5"/>
  <c r="D15" i="5"/>
  <c r="E4" i="5"/>
  <c r="E5" i="5"/>
  <c r="E6" i="5"/>
  <c r="E7" i="5"/>
  <c r="E8" i="5"/>
  <c r="E9" i="5"/>
  <c r="E10" i="5"/>
  <c r="E11" i="5"/>
  <c r="E12" i="5"/>
  <c r="E13" i="5"/>
  <c r="E14" i="5"/>
  <c r="E15" i="5"/>
  <c r="F4" i="5"/>
  <c r="F5" i="5"/>
  <c r="F6" i="5"/>
  <c r="F7" i="5"/>
  <c r="F8" i="5"/>
  <c r="F9" i="5"/>
  <c r="F10" i="5"/>
  <c r="F11" i="5"/>
  <c r="F12" i="5"/>
  <c r="F13" i="5"/>
  <c r="F14" i="5"/>
  <c r="F15" i="5"/>
  <c r="J4" i="5"/>
  <c r="J5" i="5"/>
  <c r="J6" i="5"/>
  <c r="J7" i="5"/>
  <c r="J8" i="5"/>
  <c r="J9" i="5"/>
  <c r="J10" i="5"/>
  <c r="J11" i="5"/>
  <c r="J12" i="5"/>
  <c r="J13" i="5"/>
  <c r="J14" i="5"/>
  <c r="J15" i="5"/>
  <c r="K4" i="5"/>
  <c r="K5" i="5"/>
  <c r="K6" i="5"/>
  <c r="K7" i="5"/>
  <c r="K8" i="5"/>
  <c r="K9" i="5"/>
  <c r="K10" i="5"/>
  <c r="K11" i="5"/>
  <c r="K12" i="5"/>
  <c r="K13" i="5"/>
  <c r="K14" i="5"/>
  <c r="K15" i="5"/>
  <c r="L4" i="5"/>
  <c r="L5" i="5"/>
  <c r="L6" i="5"/>
  <c r="L7" i="5"/>
  <c r="L8" i="5"/>
  <c r="L9" i="5"/>
  <c r="L10" i="5"/>
  <c r="L11" i="5"/>
  <c r="L12" i="5"/>
  <c r="L13" i="5"/>
  <c r="L14" i="5"/>
  <c r="L15" i="5"/>
  <c r="M4" i="5"/>
  <c r="M5" i="5"/>
  <c r="M6" i="5"/>
  <c r="M7" i="5"/>
  <c r="M8" i="5"/>
  <c r="M9" i="5"/>
  <c r="M10" i="5"/>
  <c r="M12" i="5"/>
  <c r="M11" i="5"/>
  <c r="M13" i="5"/>
  <c r="M14" i="5"/>
  <c r="M15" i="5"/>
  <c r="Q4" i="5"/>
  <c r="Q5" i="5"/>
  <c r="Q6" i="5"/>
  <c r="Q7" i="5"/>
  <c r="Q8" i="5"/>
  <c r="Q9" i="5"/>
  <c r="Q10" i="5"/>
  <c r="Q11" i="5"/>
  <c r="Q12" i="5"/>
  <c r="Q13" i="5"/>
  <c r="Q14" i="5"/>
  <c r="Q15" i="5"/>
  <c r="R4" i="5"/>
  <c r="R5" i="5"/>
  <c r="R6" i="5"/>
  <c r="R7" i="5"/>
  <c r="R8" i="5"/>
  <c r="R9" i="5"/>
  <c r="R10" i="5"/>
  <c r="R11" i="5"/>
  <c r="R12" i="5"/>
  <c r="R15" i="5"/>
  <c r="R14" i="5"/>
  <c r="R13" i="5"/>
  <c r="S4" i="5"/>
  <c r="S5" i="5"/>
  <c r="S6" i="5"/>
  <c r="S7" i="5"/>
  <c r="S8" i="5"/>
  <c r="S9" i="5"/>
  <c r="S10" i="5"/>
  <c r="S11" i="5"/>
  <c r="S12" i="5"/>
  <c r="S13" i="5"/>
  <c r="S14" i="5"/>
  <c r="S15" i="5"/>
  <c r="T4" i="5"/>
  <c r="T5" i="5"/>
  <c r="T6" i="5"/>
  <c r="T7" i="5"/>
  <c r="T8" i="5"/>
  <c r="T9" i="5"/>
  <c r="T10" i="5"/>
  <c r="T11" i="5"/>
  <c r="T12" i="5"/>
  <c r="T13" i="5"/>
  <c r="T14" i="5"/>
  <c r="T15" i="5"/>
  <c r="F21" i="5"/>
  <c r="F22" i="5"/>
  <c r="F23" i="5"/>
  <c r="F24" i="5"/>
  <c r="F25" i="5"/>
  <c r="F26" i="5"/>
  <c r="F27" i="5"/>
  <c r="F28" i="5"/>
  <c r="F29" i="5"/>
  <c r="F30" i="5"/>
  <c r="F31" i="5"/>
  <c r="F32" i="5"/>
  <c r="M21" i="5"/>
  <c r="M22" i="5"/>
  <c r="M23" i="5"/>
  <c r="M24" i="5"/>
  <c r="M25" i="5"/>
  <c r="M26" i="5"/>
  <c r="C21" i="5"/>
  <c r="C22" i="5"/>
  <c r="C23" i="5"/>
  <c r="C24" i="5"/>
  <c r="C25" i="5"/>
  <c r="C26" i="5"/>
  <c r="C27" i="5"/>
  <c r="C28" i="5"/>
  <c r="C29" i="5"/>
  <c r="C30" i="5"/>
  <c r="C31" i="5"/>
  <c r="C32" i="5"/>
  <c r="D21" i="5"/>
  <c r="D22" i="5"/>
  <c r="D23" i="5"/>
  <c r="D24" i="5"/>
  <c r="D25" i="5"/>
  <c r="D26" i="5"/>
  <c r="D27" i="5"/>
  <c r="D28" i="5"/>
  <c r="D29" i="5"/>
  <c r="D30" i="5"/>
  <c r="D31" i="5"/>
  <c r="D32" i="5"/>
  <c r="E21" i="5"/>
  <c r="E22" i="5"/>
  <c r="E23" i="5"/>
  <c r="E24" i="5"/>
  <c r="E25" i="5"/>
  <c r="E26" i="5"/>
  <c r="E27" i="5"/>
  <c r="E28" i="5"/>
  <c r="E29" i="5"/>
  <c r="E30" i="5"/>
  <c r="E31" i="5"/>
  <c r="E32" i="5"/>
  <c r="J26" i="5"/>
  <c r="M27" i="5"/>
  <c r="M28" i="5"/>
  <c r="M29" i="5"/>
  <c r="M30" i="5"/>
  <c r="L32" i="5"/>
  <c r="M31" i="5"/>
  <c r="L21" i="5"/>
  <c r="L22" i="5"/>
  <c r="L23" i="5"/>
  <c r="L24" i="5"/>
  <c r="L25" i="5"/>
  <c r="L26" i="5"/>
  <c r="L27" i="5"/>
  <c r="L28" i="5"/>
  <c r="L29" i="5"/>
  <c r="L30" i="5"/>
  <c r="L31" i="5"/>
  <c r="K21" i="5"/>
  <c r="K22" i="5"/>
  <c r="K23" i="5"/>
  <c r="K24" i="5"/>
  <c r="K25" i="5"/>
  <c r="K26" i="5"/>
  <c r="K27" i="5"/>
  <c r="K28" i="5"/>
  <c r="K29" i="5"/>
  <c r="K30" i="5"/>
  <c r="K31" i="5"/>
  <c r="J21" i="5"/>
  <c r="J22" i="5"/>
  <c r="J23" i="5"/>
  <c r="J24" i="5"/>
  <c r="J25" i="5"/>
  <c r="J27" i="5"/>
  <c r="J28" i="5"/>
  <c r="J29" i="5"/>
  <c r="J30" i="5"/>
  <c r="J31" i="5"/>
  <c r="M32" i="5"/>
  <c r="K32" i="5"/>
  <c r="J32" i="5"/>
  <c r="D15" i="4"/>
  <c r="F9" i="4"/>
  <c r="F10" i="4"/>
  <c r="F11" i="4"/>
  <c r="F12" i="4"/>
  <c r="F13" i="4"/>
  <c r="F14" i="4"/>
  <c r="F15" i="4"/>
  <c r="J4" i="4"/>
  <c r="J5" i="4"/>
  <c r="J6" i="4"/>
  <c r="J7" i="4"/>
  <c r="J8" i="4"/>
  <c r="J10" i="4"/>
  <c r="J11" i="4"/>
  <c r="J12" i="4"/>
  <c r="J13" i="4"/>
  <c r="J14" i="4"/>
  <c r="J15" i="4"/>
  <c r="L4" i="4"/>
  <c r="L5" i="4"/>
  <c r="L6" i="4"/>
  <c r="L7" i="4"/>
  <c r="L8" i="4"/>
  <c r="L9" i="4"/>
  <c r="M9" i="4"/>
  <c r="L10" i="4"/>
  <c r="L11" i="4"/>
  <c r="L12" i="4"/>
  <c r="L13" i="4"/>
  <c r="M4" i="4"/>
  <c r="M5" i="4"/>
  <c r="M6" i="4"/>
  <c r="M7" i="4"/>
  <c r="M8" i="4"/>
  <c r="M10" i="4"/>
  <c r="M11" i="4"/>
  <c r="M12" i="4"/>
  <c r="M13" i="4"/>
  <c r="M14" i="4"/>
  <c r="M15" i="4"/>
  <c r="T4" i="4"/>
  <c r="T5" i="4"/>
  <c r="T6" i="4"/>
  <c r="T7" i="4"/>
  <c r="T8" i="4"/>
  <c r="T9" i="4"/>
  <c r="T10" i="4"/>
  <c r="T11" i="4"/>
  <c r="T12" i="4"/>
  <c r="T13" i="4"/>
  <c r="T14" i="4"/>
  <c r="T15" i="4"/>
  <c r="S4" i="4"/>
  <c r="S5" i="4"/>
  <c r="S6" i="4"/>
  <c r="S7" i="4"/>
  <c r="S8" i="4"/>
  <c r="S9" i="4"/>
  <c r="S10" i="4"/>
  <c r="S11" i="4"/>
  <c r="S12" i="4"/>
  <c r="S13" i="4"/>
  <c r="S14" i="4"/>
  <c r="S15" i="4"/>
  <c r="R4" i="4"/>
  <c r="R5" i="4"/>
  <c r="R6" i="4"/>
  <c r="R7" i="4"/>
  <c r="R8" i="4"/>
  <c r="R9" i="4"/>
  <c r="R10" i="4"/>
  <c r="R11" i="4"/>
  <c r="R12" i="4"/>
  <c r="R13" i="4"/>
  <c r="R14" i="4"/>
  <c r="R15" i="4"/>
  <c r="Q4" i="4"/>
  <c r="Q5" i="4"/>
  <c r="Q6" i="4"/>
  <c r="Q7" i="4"/>
  <c r="Q8" i="4"/>
  <c r="Q9" i="4"/>
  <c r="Q10" i="4"/>
  <c r="Q11" i="4"/>
  <c r="Q12" i="4"/>
  <c r="Q13" i="4"/>
  <c r="Q14" i="4"/>
  <c r="Q15" i="4"/>
  <c r="F21" i="4"/>
  <c r="F22" i="4"/>
  <c r="F23" i="4"/>
  <c r="F24" i="4"/>
  <c r="F25" i="4"/>
  <c r="F26" i="4"/>
  <c r="F27" i="4"/>
  <c r="F28" i="4"/>
  <c r="F29" i="4"/>
  <c r="F30" i="4"/>
  <c r="F31" i="4"/>
  <c r="F32" i="4"/>
  <c r="E21" i="4"/>
  <c r="E22" i="4"/>
  <c r="E23" i="4"/>
  <c r="E24" i="4"/>
  <c r="E25" i="4"/>
  <c r="E26" i="4"/>
  <c r="E27" i="4"/>
  <c r="E28" i="4"/>
  <c r="E29" i="4"/>
  <c r="E30" i="4"/>
  <c r="E31" i="4"/>
  <c r="E32" i="4"/>
  <c r="D21" i="4"/>
  <c r="D22" i="4"/>
  <c r="D23" i="4"/>
  <c r="D24" i="4"/>
  <c r="D25" i="4"/>
  <c r="D26" i="4"/>
  <c r="D27" i="4"/>
  <c r="D28" i="4"/>
  <c r="D29" i="4"/>
  <c r="D30" i="4"/>
  <c r="D31" i="4"/>
  <c r="D32" i="4"/>
  <c r="C31" i="4"/>
  <c r="C30" i="4"/>
  <c r="C29" i="4"/>
  <c r="C28" i="4"/>
  <c r="C27" i="4"/>
  <c r="C26" i="4"/>
  <c r="C25" i="4"/>
  <c r="C24" i="4"/>
  <c r="C23" i="4"/>
  <c r="C22" i="4"/>
  <c r="C21" i="4"/>
  <c r="C32" i="4"/>
  <c r="M21" i="4"/>
  <c r="M22" i="4"/>
  <c r="M24" i="4"/>
  <c r="M25" i="4"/>
  <c r="M26" i="4"/>
  <c r="M27" i="4"/>
  <c r="M28" i="4"/>
  <c r="M29" i="4"/>
  <c r="M30" i="4"/>
  <c r="M31" i="4"/>
  <c r="L21" i="4"/>
  <c r="L22" i="4"/>
  <c r="L23" i="4"/>
  <c r="L24" i="4"/>
  <c r="L25" i="4"/>
  <c r="L26" i="4"/>
  <c r="L27" i="4"/>
  <c r="L28" i="4"/>
  <c r="L31" i="4"/>
  <c r="L29" i="4"/>
  <c r="L30" i="4"/>
  <c r="K21" i="4"/>
  <c r="K22" i="4"/>
  <c r="K23" i="4"/>
  <c r="K24" i="4"/>
  <c r="K25" i="4"/>
  <c r="K26" i="4"/>
  <c r="K27" i="4"/>
  <c r="K28" i="4"/>
  <c r="K29" i="4"/>
  <c r="K30" i="4"/>
  <c r="K31" i="4"/>
  <c r="J21" i="4"/>
  <c r="J22" i="4"/>
  <c r="J23" i="4"/>
  <c r="J24" i="4"/>
  <c r="J25" i="4"/>
  <c r="J26" i="4"/>
  <c r="J27" i="4"/>
  <c r="J28" i="4"/>
  <c r="J29" i="4"/>
  <c r="J30" i="4"/>
  <c r="J31" i="4"/>
  <c r="M32" i="4"/>
  <c r="L32" i="4"/>
  <c r="K32" i="4"/>
  <c r="J32" i="4"/>
  <c r="N30" i="5" l="1"/>
  <c r="G14" i="5"/>
  <c r="G13" i="5"/>
  <c r="G5" i="5"/>
  <c r="C7" i="4"/>
  <c r="D7" i="4"/>
  <c r="D6" i="4"/>
  <c r="C6" i="4"/>
  <c r="C5" i="4"/>
  <c r="D5" i="4"/>
  <c r="D4" i="4"/>
  <c r="C4" i="4"/>
  <c r="N32" i="6"/>
  <c r="E32" i="6"/>
  <c r="D32" i="6"/>
  <c r="C32" i="6"/>
  <c r="G32" i="6" s="1"/>
  <c r="N31" i="6"/>
  <c r="E31" i="6"/>
  <c r="D31" i="6"/>
  <c r="C31" i="6"/>
  <c r="G31" i="6" s="1"/>
  <c r="K30" i="6"/>
  <c r="N30" i="6" s="1"/>
  <c r="E30" i="6"/>
  <c r="D30" i="6"/>
  <c r="C30" i="6"/>
  <c r="L29" i="6"/>
  <c r="K29" i="6"/>
  <c r="N29" i="6"/>
  <c r="F29" i="6"/>
  <c r="E29" i="6"/>
  <c r="D29" i="6"/>
  <c r="C29" i="6"/>
  <c r="L28" i="6"/>
  <c r="K28" i="6"/>
  <c r="F28" i="6"/>
  <c r="E28" i="6"/>
  <c r="D28" i="6"/>
  <c r="C28" i="6"/>
  <c r="L27" i="6"/>
  <c r="K27" i="6"/>
  <c r="J27" i="6"/>
  <c r="F27" i="6"/>
  <c r="E27" i="6"/>
  <c r="D27" i="6"/>
  <c r="C27" i="6"/>
  <c r="L26" i="6"/>
  <c r="K26" i="6"/>
  <c r="J26" i="6"/>
  <c r="F26" i="6"/>
  <c r="E26" i="6"/>
  <c r="D26" i="6"/>
  <c r="C26" i="6"/>
  <c r="L25" i="6"/>
  <c r="K25" i="6"/>
  <c r="J25" i="6"/>
  <c r="F25" i="6"/>
  <c r="E25" i="6"/>
  <c r="D25" i="6"/>
  <c r="C25" i="6"/>
  <c r="L24" i="6"/>
  <c r="K24" i="6"/>
  <c r="J24" i="6"/>
  <c r="F24" i="6"/>
  <c r="E24" i="6"/>
  <c r="D24" i="6"/>
  <c r="C24" i="6"/>
  <c r="L23" i="6"/>
  <c r="K23" i="6"/>
  <c r="J23" i="6"/>
  <c r="F23" i="6"/>
  <c r="E23" i="6"/>
  <c r="D23" i="6"/>
  <c r="C23" i="6"/>
  <c r="L22" i="6"/>
  <c r="K22" i="6"/>
  <c r="J22" i="6"/>
  <c r="F22" i="6"/>
  <c r="E22" i="6"/>
  <c r="D22" i="6"/>
  <c r="C22" i="6"/>
  <c r="Q21" i="6"/>
  <c r="L21" i="6"/>
  <c r="K21" i="6"/>
  <c r="J21" i="6"/>
  <c r="F21" i="6"/>
  <c r="E21" i="6"/>
  <c r="D21" i="6"/>
  <c r="C21" i="6"/>
  <c r="T15" i="6"/>
  <c r="S15" i="6"/>
  <c r="R15" i="6"/>
  <c r="Q15" i="6"/>
  <c r="M15" i="6"/>
  <c r="L15" i="6"/>
  <c r="K15" i="6"/>
  <c r="J15" i="6"/>
  <c r="G15" i="6"/>
  <c r="T14" i="6"/>
  <c r="S14" i="6"/>
  <c r="R14" i="6"/>
  <c r="Q14" i="6"/>
  <c r="M14" i="6"/>
  <c r="L14" i="6"/>
  <c r="K14" i="6"/>
  <c r="J14" i="6"/>
  <c r="F14" i="6"/>
  <c r="G14" i="6" s="1"/>
  <c r="T13" i="6"/>
  <c r="S13" i="6"/>
  <c r="R13" i="6"/>
  <c r="Q13" i="6"/>
  <c r="M13" i="6"/>
  <c r="L13" i="6"/>
  <c r="K13" i="6"/>
  <c r="J13" i="6"/>
  <c r="E13" i="6"/>
  <c r="G13" i="6" s="1"/>
  <c r="T12" i="6"/>
  <c r="S12" i="6"/>
  <c r="R12" i="6"/>
  <c r="Q12" i="6"/>
  <c r="M12" i="6"/>
  <c r="L12" i="6"/>
  <c r="K12" i="6"/>
  <c r="J12" i="6"/>
  <c r="F12" i="6"/>
  <c r="E12" i="6"/>
  <c r="T11" i="6"/>
  <c r="S11" i="6"/>
  <c r="R11" i="6"/>
  <c r="Q11" i="6"/>
  <c r="M11" i="6"/>
  <c r="L11" i="6"/>
  <c r="K11" i="6"/>
  <c r="J11" i="6"/>
  <c r="G11" i="6"/>
  <c r="T10" i="6"/>
  <c r="S10" i="6"/>
  <c r="R10" i="6"/>
  <c r="Q10" i="6"/>
  <c r="M10" i="6"/>
  <c r="L10" i="6"/>
  <c r="K10" i="6"/>
  <c r="J10" i="6"/>
  <c r="G10" i="6"/>
  <c r="T9" i="6"/>
  <c r="S9" i="6"/>
  <c r="R9" i="6"/>
  <c r="Q9" i="6"/>
  <c r="M9" i="6"/>
  <c r="L9" i="6"/>
  <c r="K9" i="6"/>
  <c r="J9" i="6"/>
  <c r="F9" i="6"/>
  <c r="E9" i="6"/>
  <c r="T8" i="6"/>
  <c r="S8" i="6"/>
  <c r="R8" i="6"/>
  <c r="Q8" i="6"/>
  <c r="M8" i="6"/>
  <c r="L8" i="6"/>
  <c r="K8" i="6"/>
  <c r="J8" i="6"/>
  <c r="G8" i="6"/>
  <c r="T7" i="6"/>
  <c r="S7" i="6"/>
  <c r="R7" i="6"/>
  <c r="Q7" i="6"/>
  <c r="M7" i="6"/>
  <c r="L7" i="6"/>
  <c r="K7" i="6"/>
  <c r="J7" i="6"/>
  <c r="G7" i="6"/>
  <c r="T6" i="6"/>
  <c r="S6" i="6"/>
  <c r="R6" i="6"/>
  <c r="Q6" i="6"/>
  <c r="L6" i="6"/>
  <c r="K6" i="6"/>
  <c r="J6" i="6"/>
  <c r="G6" i="6"/>
  <c r="T5" i="6"/>
  <c r="S5" i="6"/>
  <c r="R5" i="6"/>
  <c r="Q5" i="6"/>
  <c r="L5" i="6"/>
  <c r="K5" i="6"/>
  <c r="J5" i="6"/>
  <c r="G5" i="6"/>
  <c r="T4" i="6"/>
  <c r="S4" i="6"/>
  <c r="R4" i="6"/>
  <c r="Q4" i="6"/>
  <c r="L4" i="6"/>
  <c r="K4" i="6"/>
  <c r="J4" i="6"/>
  <c r="G4" i="6"/>
  <c r="G28" i="5"/>
  <c r="G26" i="5"/>
  <c r="G25" i="5"/>
  <c r="G24" i="5"/>
  <c r="G22" i="5"/>
  <c r="Q21" i="5"/>
  <c r="G21" i="5"/>
  <c r="U15" i="5"/>
  <c r="U14" i="5"/>
  <c r="U13" i="5"/>
  <c r="U12" i="5"/>
  <c r="N12" i="5"/>
  <c r="U11" i="5"/>
  <c r="U10" i="5"/>
  <c r="G10" i="5"/>
  <c r="U9" i="5"/>
  <c r="N9" i="5"/>
  <c r="G9" i="5"/>
  <c r="U8" i="5"/>
  <c r="G8" i="5"/>
  <c r="U7" i="5"/>
  <c r="G7" i="5"/>
  <c r="U6" i="5"/>
  <c r="G6" i="5"/>
  <c r="U5" i="5"/>
  <c r="U4" i="5"/>
  <c r="U16" i="5" s="1"/>
  <c r="U17" i="5" s="1"/>
  <c r="G4" i="5"/>
  <c r="N25" i="6" l="1"/>
  <c r="N28" i="6"/>
  <c r="N14" i="6"/>
  <c r="N24" i="6"/>
  <c r="G12" i="6"/>
  <c r="G25" i="6"/>
  <c r="G29" i="6"/>
  <c r="G9" i="6"/>
  <c r="G16" i="6" s="1"/>
  <c r="G17" i="6" s="1"/>
  <c r="G24" i="6"/>
  <c r="G28" i="6"/>
  <c r="N4" i="6"/>
  <c r="N16" i="6" s="1"/>
  <c r="N17" i="6" s="1"/>
  <c r="N5" i="6"/>
  <c r="N6" i="6"/>
  <c r="N7" i="6"/>
  <c r="U7" i="6"/>
  <c r="N9" i="6"/>
  <c r="U9" i="6"/>
  <c r="N12" i="6"/>
  <c r="U12" i="6"/>
  <c r="N8" i="6"/>
  <c r="U8" i="6"/>
  <c r="N10" i="6"/>
  <c r="U10" i="6"/>
  <c r="N11" i="6"/>
  <c r="U11" i="6"/>
  <c r="U14" i="6"/>
  <c r="G23" i="6"/>
  <c r="N23" i="6"/>
  <c r="G27" i="6"/>
  <c r="N27" i="6"/>
  <c r="U4" i="6"/>
  <c r="U5" i="6"/>
  <c r="U6" i="6"/>
  <c r="N13" i="6"/>
  <c r="U13" i="6"/>
  <c r="N15" i="6"/>
  <c r="U15" i="6"/>
  <c r="G21" i="6"/>
  <c r="N21" i="6"/>
  <c r="G22" i="6"/>
  <c r="N22" i="6"/>
  <c r="G26" i="6"/>
  <c r="N26" i="6"/>
  <c r="G30" i="6"/>
  <c r="N23" i="5"/>
  <c r="N24" i="5"/>
  <c r="N25" i="5"/>
  <c r="N27" i="5"/>
  <c r="N28" i="5"/>
  <c r="N26" i="5"/>
  <c r="N32" i="5"/>
  <c r="N11" i="5"/>
  <c r="N7" i="5"/>
  <c r="N6" i="5"/>
  <c r="N5" i="5"/>
  <c r="N4" i="5"/>
  <c r="G11" i="5"/>
  <c r="G12" i="5"/>
  <c r="G15" i="5"/>
  <c r="N31" i="5"/>
  <c r="N29" i="5"/>
  <c r="N22" i="5"/>
  <c r="N21" i="5"/>
  <c r="G32" i="5"/>
  <c r="G31" i="5"/>
  <c r="G30" i="5"/>
  <c r="G27" i="5"/>
  <c r="G29" i="5"/>
  <c r="G23" i="5"/>
  <c r="N15" i="5"/>
  <c r="N14" i="5"/>
  <c r="N13" i="5"/>
  <c r="N8" i="5"/>
  <c r="N10" i="5"/>
  <c r="Q24" i="5"/>
  <c r="S24" i="5" s="1"/>
  <c r="Q21" i="4"/>
  <c r="N25" i="4"/>
  <c r="N30" i="4"/>
  <c r="N29" i="4"/>
  <c r="N26" i="4"/>
  <c r="G24" i="4"/>
  <c r="G30" i="4"/>
  <c r="G23" i="4"/>
  <c r="U13" i="4"/>
  <c r="U7" i="4"/>
  <c r="U12" i="4"/>
  <c r="U11" i="4"/>
  <c r="N7" i="4"/>
  <c r="L15" i="4"/>
  <c r="L14" i="4"/>
  <c r="K15" i="4"/>
  <c r="K14" i="4"/>
  <c r="K13" i="4"/>
  <c r="K12" i="4"/>
  <c r="K11" i="4"/>
  <c r="K10" i="4"/>
  <c r="K9" i="4"/>
  <c r="K8" i="4"/>
  <c r="K7" i="4"/>
  <c r="K6" i="4"/>
  <c r="K5" i="4"/>
  <c r="K4" i="4"/>
  <c r="J9" i="4"/>
  <c r="F8" i="4"/>
  <c r="F7" i="4"/>
  <c r="E15" i="4"/>
  <c r="E14" i="4"/>
  <c r="G14" i="4" s="1"/>
  <c r="E9" i="4"/>
  <c r="G9" i="4" s="1"/>
  <c r="E8" i="4"/>
  <c r="E7" i="4"/>
  <c r="E6" i="4"/>
  <c r="G6" i="4" s="1"/>
  <c r="E5" i="4"/>
  <c r="G5" i="4" s="1"/>
  <c r="E4" i="4"/>
  <c r="G4" i="4" s="1"/>
  <c r="E10" i="4"/>
  <c r="E11" i="4"/>
  <c r="E12" i="4"/>
  <c r="E13" i="4"/>
  <c r="D14" i="4"/>
  <c r="D13" i="4"/>
  <c r="D12" i="4"/>
  <c r="D11" i="4"/>
  <c r="D10" i="4"/>
  <c r="D9" i="4"/>
  <c r="D8" i="4"/>
  <c r="C15" i="4"/>
  <c r="C14" i="4"/>
  <c r="C13" i="4"/>
  <c r="C12" i="4"/>
  <c r="C11" i="4"/>
  <c r="C10" i="4"/>
  <c r="C9" i="4"/>
  <c r="C8" i="4"/>
  <c r="C24" i="1"/>
  <c r="C21" i="1"/>
  <c r="C18" i="1"/>
  <c r="G16" i="5" l="1"/>
  <c r="G17" i="5" s="1"/>
  <c r="Q22" i="5" s="1"/>
  <c r="S22" i="5" s="1"/>
  <c r="T22" i="5" s="1"/>
  <c r="S28" i="5" s="1"/>
  <c r="U16" i="6"/>
  <c r="U17" i="6" s="1"/>
  <c r="N16" i="5"/>
  <c r="N17" i="5" s="1"/>
  <c r="G11" i="4"/>
  <c r="G12" i="4"/>
  <c r="G10" i="4"/>
  <c r="G15" i="4"/>
  <c r="G13" i="4"/>
  <c r="Q22" i="6"/>
  <c r="S22" i="6" s="1"/>
  <c r="T22" i="6" s="1"/>
  <c r="G7" i="4"/>
  <c r="G8" i="4"/>
  <c r="Q23" i="6"/>
  <c r="S23" i="6" s="1"/>
  <c r="Q26" i="6"/>
  <c r="S26" i="6" s="1"/>
  <c r="Q24" i="6"/>
  <c r="S24" i="6" s="1"/>
  <c r="Q25" i="6"/>
  <c r="S25" i="6" s="1"/>
  <c r="Q26" i="5"/>
  <c r="S26" i="5" s="1"/>
  <c r="Q25" i="5"/>
  <c r="S25" i="5" s="1"/>
  <c r="Q23" i="5"/>
  <c r="S23" i="5" s="1"/>
  <c r="N32" i="4"/>
  <c r="N23" i="4"/>
  <c r="N33" i="4" s="1"/>
  <c r="N34" i="4" s="1"/>
  <c r="N31" i="4"/>
  <c r="N28" i="4"/>
  <c r="N27" i="4"/>
  <c r="N24" i="4"/>
  <c r="N22" i="4"/>
  <c r="N21" i="4"/>
  <c r="G29" i="4"/>
  <c r="G28" i="4"/>
  <c r="G27" i="4"/>
  <c r="G26" i="4"/>
  <c r="G25" i="4"/>
  <c r="G22" i="4"/>
  <c r="G32" i="4"/>
  <c r="G31" i="4"/>
  <c r="G21" i="4"/>
  <c r="U4" i="4"/>
  <c r="U15" i="4"/>
  <c r="U14" i="4"/>
  <c r="U5" i="4"/>
  <c r="U10" i="4"/>
  <c r="U9" i="4"/>
  <c r="U8" i="4"/>
  <c r="U6" i="4"/>
  <c r="N8" i="4"/>
  <c r="N12" i="4"/>
  <c r="N11" i="4"/>
  <c r="N10" i="4"/>
  <c r="N15" i="4"/>
  <c r="N14" i="4"/>
  <c r="N13" i="4"/>
  <c r="N9" i="4"/>
  <c r="N4" i="4"/>
  <c r="N6" i="4"/>
  <c r="N5" i="4"/>
  <c r="T23" i="6" l="1"/>
  <c r="U16" i="4"/>
  <c r="U17" i="4" s="1"/>
  <c r="N16" i="4"/>
  <c r="T24" i="6"/>
  <c r="T25" i="6" s="1"/>
  <c r="S28" i="6" s="1"/>
  <c r="Q27" i="6"/>
  <c r="Q30" i="6" s="1"/>
  <c r="Q31" i="6" s="1"/>
  <c r="Q32" i="6"/>
  <c r="T23" i="5"/>
  <c r="S29" i="5" s="1"/>
  <c r="Q27" i="5"/>
  <c r="Q30" i="5" s="1"/>
  <c r="Q31" i="5" s="1"/>
  <c r="Q32" i="5"/>
  <c r="Q26" i="4"/>
  <c r="S26" i="4" s="1"/>
  <c r="Q25" i="4"/>
  <c r="S25" i="4" s="1"/>
  <c r="Q24" i="4"/>
  <c r="S24" i="4" s="1"/>
  <c r="G17" i="4" l="1"/>
  <c r="N17" i="4"/>
  <c r="Q23" i="4" s="1"/>
  <c r="S23" i="4" s="1"/>
  <c r="Q28" i="6"/>
  <c r="Q29" i="6" s="1"/>
  <c r="T26" i="6"/>
  <c r="S29" i="6" s="1"/>
  <c r="S30" i="6" s="1"/>
  <c r="T24" i="5"/>
  <c r="Q28" i="5"/>
  <c r="Q29" i="5" s="1"/>
  <c r="S22" i="4" l="1"/>
  <c r="T22" i="4" s="1"/>
  <c r="Q22" i="4"/>
  <c r="T23" i="4"/>
  <c r="Q32" i="4"/>
  <c r="Q27" i="4"/>
  <c r="Q30" i="4" s="1"/>
  <c r="Q31" i="4" s="1"/>
  <c r="T25" i="5"/>
  <c r="T26" i="5" s="1"/>
  <c r="T24" i="4"/>
  <c r="S30" i="5"/>
  <c r="Q33" i="5" s="1"/>
  <c r="Q28" i="4" l="1"/>
  <c r="Q29" i="4" s="1"/>
  <c r="T25" i="4"/>
  <c r="S30" i="4" s="1"/>
  <c r="T26" i="4" l="1"/>
  <c r="F4" i="1" l="1"/>
  <c r="H3" i="1"/>
  <c r="C17" i="1" l="1"/>
  <c r="C9" i="1"/>
</calcChain>
</file>

<file path=xl/sharedStrings.xml><?xml version="1.0" encoding="utf-8"?>
<sst xmlns="http://schemas.openxmlformats.org/spreadsheetml/2006/main" count="206" uniqueCount="45">
  <si>
    <t>Despesas Pré-operacionais</t>
  </si>
  <si>
    <t>Tipo</t>
  </si>
  <si>
    <t>Valor</t>
  </si>
  <si>
    <t>Dominio</t>
  </si>
  <si>
    <t>Registro INPI</t>
  </si>
  <si>
    <t>Registro CNPJ</t>
  </si>
  <si>
    <t>Total</t>
  </si>
  <si>
    <t>Custos Fixos</t>
  </si>
  <si>
    <t>Manutencao</t>
  </si>
  <si>
    <t>Pro-labore</t>
  </si>
  <si>
    <t>Hospedagem</t>
  </si>
  <si>
    <t>Marketing</t>
  </si>
  <si>
    <t>Internet</t>
  </si>
  <si>
    <t>Capital de Giro</t>
  </si>
  <si>
    <t>TMA</t>
  </si>
  <si>
    <t>aa</t>
  </si>
  <si>
    <t>Investimento Inicial</t>
  </si>
  <si>
    <t>Desenvolvimento</t>
  </si>
  <si>
    <t>am</t>
  </si>
  <si>
    <t>Planos para usuários</t>
  </si>
  <si>
    <t>Período</t>
  </si>
  <si>
    <t>Anos</t>
  </si>
  <si>
    <t>VPL</t>
  </si>
  <si>
    <t>VPLa</t>
  </si>
  <si>
    <t>IBC</t>
  </si>
  <si>
    <t>ROIA</t>
  </si>
  <si>
    <t>PAYBACK</t>
  </si>
  <si>
    <t>TIR</t>
  </si>
  <si>
    <t>Bronze</t>
  </si>
  <si>
    <t>Silver</t>
  </si>
  <si>
    <t>Gold</t>
  </si>
  <si>
    <t>Black</t>
  </si>
  <si>
    <t>Ano 1</t>
  </si>
  <si>
    <t>Mês</t>
  </si>
  <si>
    <t xml:space="preserve">Gold </t>
  </si>
  <si>
    <t>Ano 2</t>
  </si>
  <si>
    <t>Ano 3</t>
  </si>
  <si>
    <t>Ano 4</t>
  </si>
  <si>
    <t>Ano 5</t>
  </si>
  <si>
    <t>VP BENEFÍCIO</t>
  </si>
  <si>
    <t>VP RECUPERADO</t>
  </si>
  <si>
    <t>VP ACUMULADO</t>
  </si>
  <si>
    <t>VP</t>
  </si>
  <si>
    <t>ao ano</t>
  </si>
  <si>
    <t>em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</si>
</sst>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#,##0.00_ ;[Red]\-#,##0.00\ 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NumberFormat="1"/>
    <xf numFmtId="0" fontId="0" fillId="0" borderId="0" xfId="0" applyAlignment="1"/>
    <xf numFmtId="164" fontId="0" fillId="0" borderId="0" xfId="0" applyNumberFormat="1"/>
    <xf numFmtId="0" fontId="0" fillId="0" borderId="0" xfId="0" applyBorder="1" applyAlignment="1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8" fontId="0" fillId="2" borderId="1" xfId="0" applyNumberForma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164" fontId="0" fillId="8" borderId="1" xfId="0" applyNumberFormat="1" applyFill="1" applyBorder="1"/>
    <xf numFmtId="0" fontId="0" fillId="8" borderId="1" xfId="0" applyFill="1" applyBorder="1" applyAlignment="1"/>
    <xf numFmtId="164" fontId="0" fillId="6" borderId="1" xfId="0" applyNumberFormat="1" applyFill="1" applyBorder="1"/>
    <xf numFmtId="0" fontId="0" fillId="6" borderId="1" xfId="0" applyFill="1" applyBorder="1" applyAlignment="1"/>
    <xf numFmtId="8" fontId="0" fillId="8" borderId="1" xfId="0" applyNumberFormat="1" applyFill="1" applyBorder="1"/>
    <xf numFmtId="8" fontId="0" fillId="6" borderId="1" xfId="0" applyNumberFormat="1" applyFill="1" applyBorder="1"/>
    <xf numFmtId="0" fontId="0" fillId="9" borderId="1" xfId="0" applyFill="1" applyBorder="1"/>
    <xf numFmtId="2" fontId="0" fillId="6" borderId="1" xfId="0" applyNumberFormat="1" applyFill="1" applyBorder="1"/>
    <xf numFmtId="10" fontId="0" fillId="6" borderId="1" xfId="0" applyNumberFormat="1" applyFill="1" applyBorder="1"/>
    <xf numFmtId="165" fontId="0" fillId="8" borderId="1" xfId="0" applyNumberFormat="1" applyFill="1" applyBorder="1"/>
    <xf numFmtId="165" fontId="0" fillId="6" borderId="1" xfId="0" applyNumberFormat="1" applyFill="1" applyBorder="1"/>
    <xf numFmtId="0" fontId="0" fillId="10" borderId="1" xfId="0" applyFill="1" applyBorder="1"/>
    <xf numFmtId="0" fontId="0" fillId="13" borderId="1" xfId="0" applyFill="1" applyBorder="1"/>
    <xf numFmtId="164" fontId="0" fillId="13" borderId="1" xfId="0" applyNumberFormat="1" applyFill="1" applyBorder="1"/>
    <xf numFmtId="0" fontId="0" fillId="13" borderId="1" xfId="0" applyFill="1" applyBorder="1" applyAlignment="1"/>
    <xf numFmtId="0" fontId="0" fillId="3" borderId="0" xfId="0" applyFill="1"/>
    <xf numFmtId="0" fontId="0" fillId="11" borderId="1" xfId="0" applyFill="1" applyBorder="1"/>
    <xf numFmtId="0" fontId="0" fillId="12" borderId="1" xfId="0" applyFill="1" applyBorder="1"/>
    <xf numFmtId="8" fontId="0" fillId="13" borderId="1" xfId="0" applyNumberFormat="1" applyFill="1" applyBorder="1"/>
    <xf numFmtId="2" fontId="0" fillId="13" borderId="1" xfId="0" applyNumberFormat="1" applyFill="1" applyBorder="1"/>
    <xf numFmtId="10" fontId="0" fillId="13" borderId="1" xfId="0" applyNumberFormat="1" applyFill="1" applyBorder="1"/>
    <xf numFmtId="165" fontId="0" fillId="13" borderId="1" xfId="0" applyNumberFormat="1" applyFill="1" applyBorder="1"/>
    <xf numFmtId="2" fontId="0" fillId="8" borderId="1" xfId="0" applyNumberFormat="1" applyFill="1" applyBorder="1"/>
    <xf numFmtId="10" fontId="0" fillId="8" borderId="1" xfId="0" applyNumberFormat="1" applyFill="1" applyBorder="1"/>
    <xf numFmtId="0" fontId="0" fillId="14" borderId="1" xfId="0" applyFill="1" applyBorder="1"/>
    <xf numFmtId="164" fontId="0" fillId="9" borderId="1" xfId="0" applyNumberFormat="1" applyFill="1" applyBorder="1"/>
    <xf numFmtId="8" fontId="0" fillId="9" borderId="1" xfId="0" applyNumberFormat="1" applyFill="1" applyBorder="1"/>
    <xf numFmtId="9" fontId="0" fillId="9" borderId="1" xfId="0" applyNumberFormat="1" applyFill="1" applyBorder="1"/>
    <xf numFmtId="10" fontId="0" fillId="9" borderId="1" xfId="0" applyNumberFormat="1" applyFill="1" applyBorder="1"/>
    <xf numFmtId="4" fontId="0" fillId="9" borderId="1" xfId="0" applyNumberFormat="1" applyFill="1" applyBorder="1"/>
    <xf numFmtId="164" fontId="1" fillId="8" borderId="1" xfId="0" applyNumberFormat="1" applyFont="1" applyFill="1" applyBorder="1"/>
    <xf numFmtId="164" fontId="1" fillId="13" borderId="1" xfId="0" applyNumberFormat="1" applyFont="1" applyFill="1" applyBorder="1"/>
    <xf numFmtId="0" fontId="0" fillId="1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3" borderId="0" xfId="0" applyFill="1" applyBorder="1"/>
    <xf numFmtId="2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142875</xdr:colOff>
      <xdr:row>37</xdr:row>
      <xdr:rowOff>85724</xdr:rowOff>
    </xdr:to>
    <xdr:sp macro="" textlink="">
      <xdr:nvSpPr>
        <xdr:cNvPr id="2" name="CaixaDeTexto 1"/>
        <xdr:cNvSpPr txBox="1"/>
      </xdr:nvSpPr>
      <xdr:spPr>
        <a:xfrm>
          <a:off x="0" y="0"/>
          <a:ext cx="12944475" cy="7134224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>
            <a:solidFill>
              <a:sysClr val="windowText" lastClr="000000"/>
            </a:solidFill>
          </a:endParaRPr>
        </a:p>
        <a:p>
          <a:endParaRPr lang="pt-BR" sz="1100">
            <a:solidFill>
              <a:sysClr val="windowText" lastClr="000000"/>
            </a:solidFill>
          </a:endParaRPr>
        </a:p>
        <a:p>
          <a:endParaRPr lang="pt-BR" sz="1100">
            <a:solidFill>
              <a:sysClr val="windowText" lastClr="000000"/>
            </a:solidFill>
          </a:endParaRPr>
        </a:p>
        <a:p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2400">
              <a:solidFill>
                <a:sysClr val="windowText" lastClr="000000"/>
              </a:solidFill>
            </a:rPr>
            <a:t>Caso</a:t>
          </a:r>
          <a:r>
            <a:rPr lang="pt-BR" sz="2400" baseline="0">
              <a:solidFill>
                <a:sysClr val="windowText" lastClr="000000"/>
              </a:solidFill>
            </a:rPr>
            <a:t> Prático - Análise da Viabilidade Econômica de Novos Empreendimentos</a:t>
          </a:r>
        </a:p>
        <a:p>
          <a:pPr algn="ctr"/>
          <a:endParaRPr lang="pt-BR" sz="2400" baseline="0">
            <a:solidFill>
              <a:sysClr val="windowText" lastClr="000000"/>
            </a:solidFill>
          </a:endParaRPr>
        </a:p>
        <a:p>
          <a:pPr algn="ctr"/>
          <a:endParaRPr lang="pt-BR" sz="2400" baseline="0">
            <a:solidFill>
              <a:sysClr val="windowText" lastClr="000000"/>
            </a:solidFill>
          </a:endParaRPr>
        </a:p>
        <a:p>
          <a:pPr algn="ctr"/>
          <a:r>
            <a:rPr lang="pt-BR" sz="2400" baseline="0">
              <a:solidFill>
                <a:sysClr val="windowText" lastClr="000000"/>
              </a:solidFill>
            </a:rPr>
            <a:t>SwapServ</a:t>
          </a:r>
        </a:p>
        <a:p>
          <a:pPr algn="ctr"/>
          <a:endParaRPr lang="pt-BR" sz="2400" baseline="0">
            <a:solidFill>
              <a:sysClr val="windowText" lastClr="000000"/>
            </a:solidFill>
          </a:endParaRPr>
        </a:p>
        <a:p>
          <a:pPr algn="ctr"/>
          <a:endParaRPr lang="pt-BR" sz="2400" baseline="0">
            <a:solidFill>
              <a:sysClr val="windowText" lastClr="000000"/>
            </a:solidFill>
          </a:endParaRPr>
        </a:p>
        <a:p>
          <a:pPr algn="ctr"/>
          <a:endParaRPr lang="pt-BR" sz="2400" baseline="0">
            <a:solidFill>
              <a:sysClr val="windowText" lastClr="000000"/>
            </a:solidFill>
          </a:endParaRPr>
        </a:p>
        <a:p>
          <a:pPr algn="ctr"/>
          <a:r>
            <a:rPr lang="pt-BR" sz="2400" baseline="0">
              <a:solidFill>
                <a:sysClr val="windowText" lastClr="000000"/>
              </a:solidFill>
            </a:rPr>
            <a:t>Elvio Antonio Lessa</a:t>
          </a:r>
        </a:p>
        <a:p>
          <a:pPr algn="ctr"/>
          <a:r>
            <a:rPr lang="pt-BR" sz="2400" baseline="0">
              <a:solidFill>
                <a:sysClr val="windowText" lastClr="000000"/>
              </a:solidFill>
            </a:rPr>
            <a:t>Ester Moraes Morales</a:t>
          </a:r>
        </a:p>
        <a:p>
          <a:pPr algn="ctr"/>
          <a:endParaRPr lang="pt-BR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1</xdr:row>
      <xdr:rowOff>0</xdr:rowOff>
    </xdr:from>
    <xdr:ext cx="5029200" cy="2209800"/>
    <xdr:sp macro="" textlink="">
      <xdr:nvSpPr>
        <xdr:cNvPr id="2" name="CaixaDeTexto 1"/>
        <xdr:cNvSpPr txBox="1"/>
      </xdr:nvSpPr>
      <xdr:spPr>
        <a:xfrm>
          <a:off x="2971800" y="190500"/>
          <a:ext cx="5029200" cy="2209800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/>
            <a:t>Plano Bronze:</a:t>
          </a:r>
          <a:r>
            <a:rPr lang="pt-BR" sz="1100" baseline="0"/>
            <a:t> É o Plano inicial que usuário tem que pagar para usar a plataforma, nele o usuário poderá fazer apenas 10 trocas ao mês.</a:t>
          </a:r>
        </a:p>
        <a:p>
          <a:endParaRPr lang="pt-BR" sz="1100" baseline="0"/>
        </a:p>
        <a:p>
          <a:r>
            <a:rPr lang="pt-BR" sz="1100" baseline="0"/>
            <a:t>Plano Silver: Neste Plano o usuário possui direito a trocas ilimitadas em seu perfil.</a:t>
          </a:r>
        </a:p>
        <a:p>
          <a:endParaRPr lang="pt-BR" sz="1100" baseline="0"/>
        </a:p>
        <a:p>
          <a:r>
            <a:rPr lang="pt-BR" sz="1100" baseline="0"/>
            <a:t>Plano Gold: Possui as mesmas vantagens do Plano Silver , mais a possibildade de fazer transações em dinheiro para pagar os serviços dentro da própria plataforma.</a:t>
          </a:r>
        </a:p>
        <a:p>
          <a:endParaRPr lang="pt-BR" sz="1100" baseline="0"/>
        </a:p>
        <a:p>
          <a:r>
            <a:rPr lang="pt-BR" sz="1100" baseline="0"/>
            <a:t>Plano Black: É um plano anual, com as mesmas vantagens do Plano Gold, mais a possibilidade de impulsionar seu perfil dentro da plataforma  para atingir mais pessoas.</a:t>
          </a:r>
        </a:p>
        <a:p>
          <a:endParaRPr lang="pt-B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35</xdr:row>
      <xdr:rowOff>0</xdr:rowOff>
    </xdr:from>
    <xdr:to>
      <xdr:col>6</xdr:col>
      <xdr:colOff>285750</xdr:colOff>
      <xdr:row>38</xdr:row>
      <xdr:rowOff>66675</xdr:rowOff>
    </xdr:to>
    <xdr:sp macro="" textlink="">
      <xdr:nvSpPr>
        <xdr:cNvPr id="2" name="CaixaDeTexto 1"/>
        <xdr:cNvSpPr txBox="1"/>
      </xdr:nvSpPr>
      <xdr:spPr>
        <a:xfrm>
          <a:off x="590550" y="6667500"/>
          <a:ext cx="4029075" cy="6381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Nesse</a:t>
          </a:r>
          <a:r>
            <a:rPr lang="pt-BR" sz="1100" baseline="0"/>
            <a:t> cenário começamos tendo prejuízo nos 3 primeiros meses, mas ao longo do tempo a plataforma tem crescimento de clientes, porém nos últimos 2 anos ela se estabiliza no número de clientes.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180975</xdr:rowOff>
    </xdr:from>
    <xdr:to>
      <xdr:col>4</xdr:col>
      <xdr:colOff>581025</xdr:colOff>
      <xdr:row>39</xdr:row>
      <xdr:rowOff>38101</xdr:rowOff>
    </xdr:to>
    <xdr:sp macro="" textlink="">
      <xdr:nvSpPr>
        <xdr:cNvPr id="2" name="CaixaDeTexto 1"/>
        <xdr:cNvSpPr txBox="1"/>
      </xdr:nvSpPr>
      <xdr:spPr>
        <a:xfrm>
          <a:off x="609600" y="6657975"/>
          <a:ext cx="3409950" cy="80962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Nesse</a:t>
          </a:r>
          <a:r>
            <a:rPr lang="pt-BR" sz="1100" baseline="0"/>
            <a:t> cenário a plataforma já começa com um bom número de clientes, o que nos faz ter lucro a partir do primeiro mês, e ao longo desses 5 anos o número de clientes sempre vai aumentando.</a:t>
          </a:r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35</xdr:row>
      <xdr:rowOff>0</xdr:rowOff>
    </xdr:from>
    <xdr:to>
      <xdr:col>4</xdr:col>
      <xdr:colOff>609600</xdr:colOff>
      <xdr:row>39</xdr:row>
      <xdr:rowOff>95250</xdr:rowOff>
    </xdr:to>
    <xdr:sp macro="" textlink="">
      <xdr:nvSpPr>
        <xdr:cNvPr id="2" name="CaixaDeTexto 1"/>
        <xdr:cNvSpPr txBox="1"/>
      </xdr:nvSpPr>
      <xdr:spPr>
        <a:xfrm>
          <a:off x="590550" y="6667500"/>
          <a:ext cx="3533775" cy="857250"/>
        </a:xfrm>
        <a:prstGeom prst="rect">
          <a:avLst/>
        </a:prstGeom>
        <a:solidFill>
          <a:srgbClr val="FF7C8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Nesse cenário temos dificuldade</a:t>
          </a:r>
          <a:r>
            <a:rPr lang="pt-BR" sz="1100" baseline="0"/>
            <a:t> nos primeiros meses de plataforma, com prejuízo até o 5º mes, com o tempo temos um aumento de clientes, mas sempre em um ritmo lento.</a:t>
          </a:r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34900" cy="4705350"/>
    <xdr:sp macro="" textlink="">
      <xdr:nvSpPr>
        <xdr:cNvPr id="2" name="CaixaDeTexto 1"/>
        <xdr:cNvSpPr txBox="1"/>
      </xdr:nvSpPr>
      <xdr:spPr>
        <a:xfrm>
          <a:off x="0" y="0"/>
          <a:ext cx="12534900" cy="4705350"/>
        </a:xfrm>
        <a:prstGeom prst="rect">
          <a:avLst/>
        </a:prstGeom>
        <a:solidFill>
          <a:srgbClr val="00B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pt-BR" sz="1100"/>
        </a:p>
        <a:p>
          <a:pPr algn="ctr"/>
          <a:endParaRPr lang="pt-BR" sz="1100"/>
        </a:p>
        <a:p>
          <a:pPr algn="ctr"/>
          <a:endParaRPr lang="pt-BR" sz="1100"/>
        </a:p>
        <a:p>
          <a:pPr algn="ctr"/>
          <a:endParaRPr lang="pt-BR" sz="1100"/>
        </a:p>
        <a:p>
          <a:pPr algn="ctr"/>
          <a:endParaRPr lang="pt-BR" sz="1100"/>
        </a:p>
        <a:p>
          <a:pPr algn="ctr"/>
          <a:endParaRPr lang="pt-BR" sz="1100"/>
        </a:p>
        <a:p>
          <a:pPr algn="ctr"/>
          <a:r>
            <a:rPr lang="pt-BR" sz="1400"/>
            <a:t>O Cenário</a:t>
          </a:r>
          <a:r>
            <a:rPr lang="pt-BR" sz="1400" baseline="0"/>
            <a:t> Real apresentou um TIR de 74,56% um Payback de 2,47 anos, ou seja o investimento seria pago praticamente na metade do tempo necessário.</a:t>
          </a:r>
        </a:p>
        <a:p>
          <a:pPr algn="ctr"/>
          <a:endParaRPr lang="pt-BR" sz="1400" baseline="0"/>
        </a:p>
        <a:p>
          <a:pPr algn="ctr"/>
          <a:r>
            <a:rPr lang="pt-BR" sz="1400" baseline="0"/>
            <a:t>O Cenário Otimista apresentou um TIR de 139,69%  e um Payback de 1,34 anos, mostrando que seria um negócio com pouco risco.</a:t>
          </a:r>
        </a:p>
        <a:p>
          <a:pPr algn="ctr"/>
          <a:endParaRPr lang="pt-BR" sz="1400" baseline="0"/>
        </a:p>
        <a:p>
          <a:pPr algn="ctr"/>
          <a:r>
            <a:rPr lang="pt-BR" sz="1400" baseline="0"/>
            <a:t>O Cenário Pessimista tornaria o negócio mais arriscado pois o TIR seria de 29,48%, bem próximo da TMA e um Payback de 4,29 anos, ou seja no limite do tempo necessário.</a:t>
          </a:r>
        </a:p>
        <a:p>
          <a:pPr algn="ctr"/>
          <a:endParaRPr lang="pt-BR" sz="1400"/>
        </a:p>
        <a:p>
          <a:pPr algn="ctr"/>
          <a:r>
            <a:rPr lang="pt-BR" sz="1400"/>
            <a:t>A conclusão</a:t>
          </a:r>
          <a:r>
            <a:rPr lang="pt-BR" sz="1400" baseline="0"/>
            <a:t> final é que a Ideia de Negócio é promissora e valeria o investimento, pois nos três cenários analisados o investimento se pagaria antes dos 5 anos estipulados.</a:t>
          </a:r>
          <a:endParaRPr lang="pt-BR" sz="14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4"/>
  <sheetViews>
    <sheetView workbookViewId="0">
      <selection activeCell="F4" sqref="F4"/>
    </sheetView>
  </sheetViews>
  <sheetFormatPr defaultRowHeight="15" x14ac:dyDescent="0.25"/>
  <cols>
    <col min="2" max="2" width="16.7109375" customWidth="1"/>
    <col min="3" max="3" width="11.42578125" customWidth="1"/>
    <col min="6" max="6" width="11.28515625" customWidth="1"/>
  </cols>
  <sheetData>
    <row r="3" spans="2:8" x14ac:dyDescent="0.25">
      <c r="B3" s="46" t="s">
        <v>0</v>
      </c>
      <c r="C3" s="46"/>
      <c r="E3" s="38" t="s">
        <v>14</v>
      </c>
      <c r="F3" s="41">
        <v>0.2</v>
      </c>
      <c r="G3" s="5" t="s">
        <v>15</v>
      </c>
      <c r="H3" s="7">
        <f>F3+1</f>
        <v>1.2</v>
      </c>
    </row>
    <row r="4" spans="2:8" x14ac:dyDescent="0.25">
      <c r="B4" s="38" t="s">
        <v>1</v>
      </c>
      <c r="C4" s="38" t="s">
        <v>2</v>
      </c>
      <c r="E4" s="20"/>
      <c r="F4" s="42">
        <f>RATE(12,,1,-H3)</f>
        <v>1.5309470499731859E-2</v>
      </c>
      <c r="G4" s="5" t="s">
        <v>18</v>
      </c>
      <c r="H4" s="5"/>
    </row>
    <row r="5" spans="2:8" x14ac:dyDescent="0.25">
      <c r="B5" s="20" t="s">
        <v>17</v>
      </c>
      <c r="C5" s="39">
        <v>50000</v>
      </c>
    </row>
    <row r="6" spans="2:8" x14ac:dyDescent="0.25">
      <c r="B6" s="20" t="s">
        <v>3</v>
      </c>
      <c r="C6" s="39">
        <v>200</v>
      </c>
    </row>
    <row r="7" spans="2:8" x14ac:dyDescent="0.25">
      <c r="B7" s="20" t="s">
        <v>4</v>
      </c>
      <c r="C7" s="39">
        <v>355</v>
      </c>
    </row>
    <row r="8" spans="2:8" x14ac:dyDescent="0.25">
      <c r="B8" s="20" t="s">
        <v>5</v>
      </c>
      <c r="C8" s="39">
        <v>1500</v>
      </c>
    </row>
    <row r="9" spans="2:8" x14ac:dyDescent="0.25">
      <c r="B9" s="20" t="s">
        <v>6</v>
      </c>
      <c r="C9" s="39">
        <f>SUM(C5:C8)</f>
        <v>52055</v>
      </c>
    </row>
    <row r="11" spans="2:8" x14ac:dyDescent="0.25">
      <c r="B11" s="46" t="s">
        <v>7</v>
      </c>
      <c r="C11" s="46"/>
    </row>
    <row r="12" spans="2:8" x14ac:dyDescent="0.25">
      <c r="B12" s="20" t="s">
        <v>8</v>
      </c>
      <c r="C12" s="39">
        <v>500</v>
      </c>
    </row>
    <row r="13" spans="2:8" x14ac:dyDescent="0.25">
      <c r="B13" s="20" t="s">
        <v>9</v>
      </c>
      <c r="C13" s="39">
        <v>3000</v>
      </c>
    </row>
    <row r="14" spans="2:8" x14ac:dyDescent="0.25">
      <c r="B14" s="20" t="s">
        <v>10</v>
      </c>
      <c r="C14" s="39">
        <v>80</v>
      </c>
    </row>
    <row r="15" spans="2:8" x14ac:dyDescent="0.25">
      <c r="B15" s="20" t="s">
        <v>11</v>
      </c>
      <c r="C15" s="39">
        <v>2000</v>
      </c>
    </row>
    <row r="16" spans="2:8" x14ac:dyDescent="0.25">
      <c r="B16" s="20" t="s">
        <v>12</v>
      </c>
      <c r="C16" s="39">
        <v>200</v>
      </c>
    </row>
    <row r="17" spans="2:4" x14ac:dyDescent="0.25">
      <c r="B17" s="20"/>
      <c r="C17" s="39">
        <f>SUM(C12:C16)</f>
        <v>5780</v>
      </c>
      <c r="D17" t="s">
        <v>18</v>
      </c>
    </row>
    <row r="18" spans="2:4" x14ac:dyDescent="0.25">
      <c r="B18" s="20" t="s">
        <v>6</v>
      </c>
      <c r="C18" s="40">
        <f>FV(F4,12,-C17)</f>
        <v>75508.816586458735</v>
      </c>
      <c r="D18" t="s">
        <v>15</v>
      </c>
    </row>
    <row r="19" spans="2:4" x14ac:dyDescent="0.25">
      <c r="B19" s="4"/>
      <c r="C19" s="4"/>
    </row>
    <row r="20" spans="2:4" x14ac:dyDescent="0.25">
      <c r="B20" s="46" t="s">
        <v>13</v>
      </c>
      <c r="C20" s="46"/>
    </row>
    <row r="21" spans="2:4" x14ac:dyDescent="0.25">
      <c r="B21" s="20" t="s">
        <v>6</v>
      </c>
      <c r="C21" s="39">
        <f>C17*6</f>
        <v>34680</v>
      </c>
    </row>
    <row r="22" spans="2:4" x14ac:dyDescent="0.25">
      <c r="B22" s="4"/>
      <c r="C22" s="4"/>
    </row>
    <row r="23" spans="2:4" x14ac:dyDescent="0.25">
      <c r="B23" s="46" t="s">
        <v>16</v>
      </c>
      <c r="C23" s="46"/>
    </row>
    <row r="24" spans="2:4" x14ac:dyDescent="0.25">
      <c r="B24" s="20" t="s">
        <v>6</v>
      </c>
      <c r="C24" s="39">
        <f>C9+C21</f>
        <v>86735</v>
      </c>
    </row>
  </sheetData>
  <mergeCells count="4">
    <mergeCell ref="B23:C23"/>
    <mergeCell ref="B3:C3"/>
    <mergeCell ref="B11:C11"/>
    <mergeCell ref="B20:C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H16" sqref="H16"/>
    </sheetView>
  </sheetViews>
  <sheetFormatPr defaultRowHeight="15" x14ac:dyDescent="0.25"/>
  <cols>
    <col min="2" max="2" width="11.7109375" customWidth="1"/>
    <col min="3" max="3" width="12.7109375" customWidth="1"/>
    <col min="4" max="4" width="10.85546875" customWidth="1"/>
  </cols>
  <sheetData>
    <row r="2" spans="2:8" x14ac:dyDescent="0.25">
      <c r="B2" s="46" t="s">
        <v>19</v>
      </c>
      <c r="C2" s="46"/>
    </row>
    <row r="3" spans="2:8" x14ac:dyDescent="0.25">
      <c r="B3" s="38" t="s">
        <v>1</v>
      </c>
      <c r="C3" s="38" t="s">
        <v>2</v>
      </c>
    </row>
    <row r="4" spans="2:8" x14ac:dyDescent="0.25">
      <c r="B4" s="20" t="s">
        <v>28</v>
      </c>
      <c r="C4" s="43">
        <v>4.99</v>
      </c>
      <c r="D4" t="s">
        <v>18</v>
      </c>
    </row>
    <row r="5" spans="2:8" x14ac:dyDescent="0.25">
      <c r="B5" s="20" t="s">
        <v>29</v>
      </c>
      <c r="C5" s="43">
        <v>19.989999999999998</v>
      </c>
      <c r="D5" t="s">
        <v>18</v>
      </c>
    </row>
    <row r="6" spans="2:8" x14ac:dyDescent="0.25">
      <c r="B6" s="20" t="s">
        <v>30</v>
      </c>
      <c r="C6" s="43">
        <v>49.99</v>
      </c>
      <c r="D6" t="s">
        <v>18</v>
      </c>
    </row>
    <row r="7" spans="2:8" x14ac:dyDescent="0.25">
      <c r="B7" s="20" t="s">
        <v>31</v>
      </c>
      <c r="C7" s="43">
        <v>249.99</v>
      </c>
      <c r="D7" t="s">
        <v>15</v>
      </c>
    </row>
    <row r="8" spans="2:8" x14ac:dyDescent="0.25">
      <c r="B8" s="4"/>
      <c r="C8" s="4"/>
      <c r="D8" s="4"/>
      <c r="E8" s="4"/>
      <c r="F8" s="4"/>
      <c r="G8" s="4"/>
      <c r="H8" s="4"/>
    </row>
    <row r="9" spans="2:8" x14ac:dyDescent="0.25">
      <c r="B9" s="4"/>
      <c r="C9" s="4"/>
      <c r="D9" s="4"/>
      <c r="E9" s="4"/>
      <c r="F9" s="4"/>
      <c r="G9" s="4"/>
      <c r="H9" s="4"/>
    </row>
    <row r="10" spans="2:8" x14ac:dyDescent="0.25">
      <c r="B10" s="5"/>
      <c r="C10" s="6"/>
    </row>
    <row r="11" spans="2:8" x14ac:dyDescent="0.25">
      <c r="C11" s="1"/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4"/>
  <sheetViews>
    <sheetView topLeftCell="G19" workbookViewId="0">
      <selection activeCell="Q34" sqref="Q34"/>
    </sheetView>
  </sheetViews>
  <sheetFormatPr defaultRowHeight="15" x14ac:dyDescent="0.25"/>
  <cols>
    <col min="2" max="2" width="8.7109375" customWidth="1"/>
    <col min="3" max="3" width="10.85546875" customWidth="1"/>
    <col min="4" max="4" width="11.5703125" customWidth="1"/>
    <col min="5" max="5" width="11.42578125" customWidth="1"/>
    <col min="6" max="6" width="13.28515625" customWidth="1"/>
    <col min="7" max="7" width="13.42578125" customWidth="1"/>
    <col min="8" max="8" width="14.140625" customWidth="1"/>
    <col min="9" max="9" width="13.5703125" customWidth="1"/>
    <col min="10" max="11" width="10.7109375" bestFit="1" customWidth="1"/>
    <col min="12" max="12" width="12.5703125" customWidth="1"/>
    <col min="13" max="13" width="11.85546875" customWidth="1"/>
    <col min="14" max="15" width="13.42578125" customWidth="1"/>
    <col min="16" max="16" width="13.28515625" bestFit="1" customWidth="1"/>
    <col min="17" max="18" width="12.85546875" customWidth="1"/>
    <col min="19" max="19" width="15.28515625" customWidth="1"/>
    <col min="20" max="20" width="15.7109375" customWidth="1"/>
    <col min="21" max="21" width="13.42578125" customWidth="1"/>
  </cols>
  <sheetData>
    <row r="2" spans="2:21" x14ac:dyDescent="0.25">
      <c r="B2" s="47" t="s">
        <v>32</v>
      </c>
      <c r="C2" s="47"/>
      <c r="D2" s="47"/>
      <c r="E2" s="47"/>
      <c r="F2" s="47"/>
      <c r="G2" s="47"/>
      <c r="I2" s="47" t="s">
        <v>35</v>
      </c>
      <c r="J2" s="47"/>
      <c r="K2" s="47"/>
      <c r="L2" s="47"/>
      <c r="M2" s="47"/>
      <c r="N2" s="47"/>
      <c r="P2" s="47" t="s">
        <v>36</v>
      </c>
      <c r="Q2" s="47"/>
      <c r="R2" s="47"/>
      <c r="S2" s="47"/>
      <c r="T2" s="47"/>
      <c r="U2" s="47"/>
    </row>
    <row r="3" spans="2:21" x14ac:dyDescent="0.25">
      <c r="B3" s="31" t="s">
        <v>33</v>
      </c>
      <c r="C3" s="31" t="s">
        <v>28</v>
      </c>
      <c r="D3" s="31" t="s">
        <v>29</v>
      </c>
      <c r="E3" s="31" t="s">
        <v>34</v>
      </c>
      <c r="F3" s="31" t="s">
        <v>31</v>
      </c>
      <c r="G3" s="31" t="s">
        <v>6</v>
      </c>
      <c r="I3" s="31" t="s">
        <v>33</v>
      </c>
      <c r="J3" s="31" t="s">
        <v>28</v>
      </c>
      <c r="K3" s="31" t="s">
        <v>29</v>
      </c>
      <c r="L3" s="31" t="s">
        <v>34</v>
      </c>
      <c r="M3" s="31" t="s">
        <v>31</v>
      </c>
      <c r="N3" s="31" t="s">
        <v>6</v>
      </c>
      <c r="P3" s="31" t="s">
        <v>33</v>
      </c>
      <c r="Q3" s="31" t="s">
        <v>28</v>
      </c>
      <c r="R3" s="31" t="s">
        <v>29</v>
      </c>
      <c r="S3" s="31" t="s">
        <v>34</v>
      </c>
      <c r="T3" s="31" t="s">
        <v>31</v>
      </c>
      <c r="U3" s="31" t="s">
        <v>6</v>
      </c>
    </row>
    <row r="4" spans="2:21" x14ac:dyDescent="0.25">
      <c r="B4" s="13">
        <v>1</v>
      </c>
      <c r="C4" s="14">
        <f>5*Receitas!$C$4</f>
        <v>24.950000000000003</v>
      </c>
      <c r="D4" s="14">
        <f>2*Receitas!$C$5</f>
        <v>39.979999999999997</v>
      </c>
      <c r="E4" s="14">
        <f>1*Receitas!$C$6</f>
        <v>49.99</v>
      </c>
      <c r="F4" s="14">
        <v>0</v>
      </c>
      <c r="G4" s="44">
        <f>C4+D4+E4+F4-Investimento!$C$7</f>
        <v>-240.07999999999998</v>
      </c>
      <c r="I4" s="13">
        <v>1</v>
      </c>
      <c r="J4" s="14">
        <f>50*Receitas!$C$4</f>
        <v>249.5</v>
      </c>
      <c r="K4" s="14">
        <f>20*Receitas!$C$5</f>
        <v>399.79999999999995</v>
      </c>
      <c r="L4" s="14">
        <f>15*Receitas!$C$6</f>
        <v>749.85</v>
      </c>
      <c r="M4" s="14">
        <f>10*Receitas!$C$7</f>
        <v>2499.9</v>
      </c>
      <c r="N4" s="14">
        <f>J4+K4+L4+M4-Investimento!$C$7</f>
        <v>3544.05</v>
      </c>
      <c r="P4" s="13">
        <v>1</v>
      </c>
      <c r="Q4" s="14">
        <f>150*Receitas!$C$4</f>
        <v>748.5</v>
      </c>
      <c r="R4" s="14">
        <f>50*Receitas!$C$5</f>
        <v>999.49999999999989</v>
      </c>
      <c r="S4" s="14">
        <f>30*Receitas!$C$6</f>
        <v>1499.7</v>
      </c>
      <c r="T4" s="14">
        <f>20*Receitas!$C$7</f>
        <v>4999.8</v>
      </c>
      <c r="U4" s="14">
        <f>Q4+R4+S4+T4-Investimento!$C$7</f>
        <v>7892.5</v>
      </c>
    </row>
    <row r="5" spans="2:21" x14ac:dyDescent="0.25">
      <c r="B5" s="13">
        <v>2</v>
      </c>
      <c r="C5" s="14">
        <f>5*Receitas!$C$4</f>
        <v>24.950000000000003</v>
      </c>
      <c r="D5" s="14">
        <f>3*Receitas!$C$5</f>
        <v>59.97</v>
      </c>
      <c r="E5" s="14">
        <f>2*Receitas!$C$6</f>
        <v>99.98</v>
      </c>
      <c r="F5" s="14">
        <v>0</v>
      </c>
      <c r="G5" s="44">
        <f>C5+D5+E5+F5-Investimento!$C$7</f>
        <v>-170.1</v>
      </c>
      <c r="I5" s="13">
        <v>2</v>
      </c>
      <c r="J5" s="14">
        <f>50*Receitas!$C$4</f>
        <v>249.5</v>
      </c>
      <c r="K5" s="14">
        <f>20*Receitas!$C$5</f>
        <v>399.79999999999995</v>
      </c>
      <c r="L5" s="14">
        <f>15*Receitas!$C$6</f>
        <v>749.85</v>
      </c>
      <c r="M5" s="14">
        <f>10*Receitas!$C$7</f>
        <v>2499.9</v>
      </c>
      <c r="N5" s="14">
        <f>J5+K5+L5+M5-Investimento!$C$7</f>
        <v>3544.05</v>
      </c>
      <c r="P5" s="13">
        <v>2</v>
      </c>
      <c r="Q5" s="14">
        <f>150*Receitas!$C$4</f>
        <v>748.5</v>
      </c>
      <c r="R5" s="14">
        <f>50*Receitas!$C$5</f>
        <v>999.49999999999989</v>
      </c>
      <c r="S5" s="14">
        <f>30*Receitas!$C$6</f>
        <v>1499.7</v>
      </c>
      <c r="T5" s="14">
        <f>20*Receitas!$C$7</f>
        <v>4999.8</v>
      </c>
      <c r="U5" s="14">
        <f>Q5+R5+S5+T5-Investimento!$C$7</f>
        <v>7892.5</v>
      </c>
    </row>
    <row r="6" spans="2:21" x14ac:dyDescent="0.25">
      <c r="B6" s="13">
        <v>3</v>
      </c>
      <c r="C6" s="14">
        <f>10*Receitas!$C$4</f>
        <v>49.900000000000006</v>
      </c>
      <c r="D6" s="14">
        <f>5*Receitas!$C$5</f>
        <v>99.949999999999989</v>
      </c>
      <c r="E6" s="14">
        <f>3*Receitas!$C$6</f>
        <v>149.97</v>
      </c>
      <c r="F6" s="14">
        <v>0</v>
      </c>
      <c r="G6" s="44">
        <f>C6+D6+E6+F6-Investimento!$C$7</f>
        <v>-55.180000000000007</v>
      </c>
      <c r="I6" s="13">
        <v>3</v>
      </c>
      <c r="J6" s="14">
        <f>50*Receitas!$C$4</f>
        <v>249.5</v>
      </c>
      <c r="K6" s="14">
        <f>20*Receitas!$C$5</f>
        <v>399.79999999999995</v>
      </c>
      <c r="L6" s="14">
        <f>15*Receitas!$C$6</f>
        <v>749.85</v>
      </c>
      <c r="M6" s="14">
        <f>10*Receitas!$C$7</f>
        <v>2499.9</v>
      </c>
      <c r="N6" s="14">
        <f>J6+K6+L6+M6-Investimento!$C$7</f>
        <v>3544.05</v>
      </c>
      <c r="P6" s="13">
        <v>3</v>
      </c>
      <c r="Q6" s="14">
        <f>150*Receitas!$C$4</f>
        <v>748.5</v>
      </c>
      <c r="R6" s="14">
        <f>50*Receitas!$C$5</f>
        <v>999.49999999999989</v>
      </c>
      <c r="S6" s="14">
        <f>30*Receitas!$C$6</f>
        <v>1499.7</v>
      </c>
      <c r="T6" s="14">
        <f>20*Receitas!$C$7</f>
        <v>4999.8</v>
      </c>
      <c r="U6" s="14">
        <f>Q6+R6+S6+T6-Investimento!$C$7</f>
        <v>7892.5</v>
      </c>
    </row>
    <row r="7" spans="2:21" x14ac:dyDescent="0.25">
      <c r="B7" s="13">
        <v>4</v>
      </c>
      <c r="C7" s="14">
        <f>15*Receitas!$C$4</f>
        <v>74.850000000000009</v>
      </c>
      <c r="D7" s="14">
        <f>7*Receitas!$C$5</f>
        <v>139.92999999999998</v>
      </c>
      <c r="E7" s="14">
        <f>3*Receitas!$C$6</f>
        <v>149.97</v>
      </c>
      <c r="F7" s="14">
        <f>1*Receitas!$C$7</f>
        <v>249.99</v>
      </c>
      <c r="G7" s="14">
        <f>C7+D7+E7+F7-Investimento!$C$7</f>
        <v>259.74</v>
      </c>
      <c r="I7" s="13">
        <v>4</v>
      </c>
      <c r="J7" s="14">
        <f>50*Receitas!$C$4</f>
        <v>249.5</v>
      </c>
      <c r="K7" s="14">
        <f>25*Receitas!$C$5</f>
        <v>499.74999999999994</v>
      </c>
      <c r="L7" s="14">
        <f>15*Receitas!$C$6</f>
        <v>749.85</v>
      </c>
      <c r="M7" s="14">
        <f>10*Receitas!$C$7</f>
        <v>2499.9</v>
      </c>
      <c r="N7" s="14">
        <f>J7+K7+L7+M7-Investimento!$C$7</f>
        <v>3644</v>
      </c>
      <c r="P7" s="13">
        <v>4</v>
      </c>
      <c r="Q7" s="14">
        <f>150*Receitas!$C$4</f>
        <v>748.5</v>
      </c>
      <c r="R7" s="14">
        <f>50*Receitas!$C$5</f>
        <v>999.49999999999989</v>
      </c>
      <c r="S7" s="14">
        <f>30*Receitas!$C$6</f>
        <v>1499.7</v>
      </c>
      <c r="T7" s="14">
        <f>20*Receitas!$C$7</f>
        <v>4999.8</v>
      </c>
      <c r="U7" s="14">
        <f>Q7+R7+S7+T7-Investimento!$C$7</f>
        <v>7892.5</v>
      </c>
    </row>
    <row r="8" spans="2:21" x14ac:dyDescent="0.25">
      <c r="B8" s="15">
        <v>5</v>
      </c>
      <c r="C8" s="14">
        <f>20*Receitas!$C$4</f>
        <v>99.800000000000011</v>
      </c>
      <c r="D8" s="14">
        <f>10*Receitas!$C$5</f>
        <v>199.89999999999998</v>
      </c>
      <c r="E8" s="14">
        <f>3*Receitas!$C$6</f>
        <v>149.97</v>
      </c>
      <c r="F8" s="14">
        <f>1*Receitas!$C$7</f>
        <v>249.99</v>
      </c>
      <c r="G8" s="14">
        <f>C8+D8+E8+F8-Investimento!$C$7</f>
        <v>344.65999999999997</v>
      </c>
      <c r="I8" s="15">
        <v>5</v>
      </c>
      <c r="J8" s="14">
        <f>50*Receitas!$C$4</f>
        <v>249.5</v>
      </c>
      <c r="K8" s="14">
        <f>25*Receitas!$C$5</f>
        <v>499.74999999999994</v>
      </c>
      <c r="L8" s="14">
        <f>15*Receitas!$C$6</f>
        <v>749.85</v>
      </c>
      <c r="M8" s="14">
        <f>10*Receitas!$C$7</f>
        <v>2499.9</v>
      </c>
      <c r="N8" s="14">
        <f>J8+K8+L8+M8-Investimento!$C$7</f>
        <v>3644</v>
      </c>
      <c r="P8" s="15">
        <v>5</v>
      </c>
      <c r="Q8" s="14">
        <f>150*Receitas!$C$4</f>
        <v>748.5</v>
      </c>
      <c r="R8" s="14">
        <f>50*Receitas!$C$5</f>
        <v>999.49999999999989</v>
      </c>
      <c r="S8" s="14">
        <f>30*Receitas!$C$6</f>
        <v>1499.7</v>
      </c>
      <c r="T8" s="14">
        <f>20*Receitas!$C$7</f>
        <v>4999.8</v>
      </c>
      <c r="U8" s="14">
        <f>Q8+R8+S8+T8-Investimento!$C$7</f>
        <v>7892.5</v>
      </c>
    </row>
    <row r="9" spans="2:21" x14ac:dyDescent="0.25">
      <c r="B9" s="15">
        <v>6</v>
      </c>
      <c r="C9" s="14">
        <f>30*Receitas!$C$4</f>
        <v>149.70000000000002</v>
      </c>
      <c r="D9" s="14">
        <f>15*Receitas!$C$5</f>
        <v>299.84999999999997</v>
      </c>
      <c r="E9" s="14">
        <f>3*Receitas!$C$6</f>
        <v>149.97</v>
      </c>
      <c r="F9" s="14">
        <f>2*Receitas!$C$7</f>
        <v>499.98</v>
      </c>
      <c r="G9" s="14">
        <f>C9+D9+E9+F9-Investimento!$C$7</f>
        <v>744.5</v>
      </c>
      <c r="I9" s="15">
        <v>6</v>
      </c>
      <c r="J9" s="14">
        <f>50*Receitas!$C$4</f>
        <v>249.5</v>
      </c>
      <c r="K9" s="14">
        <f>25*Receitas!$C$5</f>
        <v>499.74999999999994</v>
      </c>
      <c r="L9" s="14">
        <f>15*Receitas!$C$6</f>
        <v>749.85</v>
      </c>
      <c r="M9" s="14">
        <f>10*Receitas!$C$7</f>
        <v>2499.9</v>
      </c>
      <c r="N9" s="14">
        <f>J9+K9+L9+M9-Investimento!$C$7</f>
        <v>3644</v>
      </c>
      <c r="P9" s="15">
        <v>6</v>
      </c>
      <c r="Q9" s="14">
        <f>150*Receitas!$C$4</f>
        <v>748.5</v>
      </c>
      <c r="R9" s="14">
        <f>100*Receitas!$C$5</f>
        <v>1998.9999999999998</v>
      </c>
      <c r="S9" s="14">
        <f>30*Receitas!$C$6</f>
        <v>1499.7</v>
      </c>
      <c r="T9" s="14">
        <f>30*Receitas!$C$7</f>
        <v>7499.7000000000007</v>
      </c>
      <c r="U9" s="14">
        <f>Q9+R9+S9+T9-Investimento!$C$7</f>
        <v>11391.900000000001</v>
      </c>
    </row>
    <row r="10" spans="2:21" x14ac:dyDescent="0.25">
      <c r="B10" s="15">
        <v>7</v>
      </c>
      <c r="C10" s="14">
        <f>30*Receitas!$C$4</f>
        <v>149.70000000000002</v>
      </c>
      <c r="D10" s="14">
        <f>15*Receitas!$C$5</f>
        <v>299.84999999999997</v>
      </c>
      <c r="E10" s="14">
        <f>5*Receitas!$C$6</f>
        <v>249.95000000000002</v>
      </c>
      <c r="F10" s="14">
        <f>3*Receitas!$C$7</f>
        <v>749.97</v>
      </c>
      <c r="G10" s="14">
        <f>C10+D10+E10+F10-Investimento!$C$7</f>
        <v>1094.47</v>
      </c>
      <c r="I10" s="15">
        <v>7</v>
      </c>
      <c r="J10" s="14">
        <f>100*Receitas!$C$4</f>
        <v>499</v>
      </c>
      <c r="K10" s="14">
        <f>25*Receitas!$C$5</f>
        <v>499.74999999999994</v>
      </c>
      <c r="L10" s="14">
        <f>20*Receitas!$C$6</f>
        <v>999.80000000000007</v>
      </c>
      <c r="M10" s="14">
        <f>15*Receitas!$C$7</f>
        <v>3749.8500000000004</v>
      </c>
      <c r="N10" s="14">
        <f>J10+K10+L10+M10-Investimento!$C$7</f>
        <v>5393.4000000000005</v>
      </c>
      <c r="P10" s="15">
        <v>7</v>
      </c>
      <c r="Q10" s="14">
        <f>200*Receitas!$C$4</f>
        <v>998</v>
      </c>
      <c r="R10" s="14">
        <f>100*Receitas!$C$5</f>
        <v>1998.9999999999998</v>
      </c>
      <c r="S10" s="14">
        <f>50*Receitas!$C$6</f>
        <v>2499.5</v>
      </c>
      <c r="T10" s="14">
        <f>30*Receitas!$C$7</f>
        <v>7499.7000000000007</v>
      </c>
      <c r="U10" s="14">
        <f>Q10+R10+S10+T10-Investimento!$C$7</f>
        <v>12641.2</v>
      </c>
    </row>
    <row r="11" spans="2:21" x14ac:dyDescent="0.25">
      <c r="B11" s="15">
        <v>8</v>
      </c>
      <c r="C11" s="14">
        <f>30*Receitas!$C$4</f>
        <v>149.70000000000002</v>
      </c>
      <c r="D11" s="14">
        <f>15*Receitas!$C$5</f>
        <v>299.84999999999997</v>
      </c>
      <c r="E11" s="14">
        <f>5*Receitas!$C$6</f>
        <v>249.95000000000002</v>
      </c>
      <c r="F11" s="14">
        <f>4*Receitas!$C$7</f>
        <v>999.96</v>
      </c>
      <c r="G11" s="14">
        <f>C11+D11+E11+F11-Investimento!$C$7</f>
        <v>1344.46</v>
      </c>
      <c r="I11" s="15">
        <v>8</v>
      </c>
      <c r="J11" s="14">
        <f>100*Receitas!$C$4</f>
        <v>499</v>
      </c>
      <c r="K11" s="14">
        <f>25*Receitas!$C$5</f>
        <v>499.74999999999994</v>
      </c>
      <c r="L11" s="14">
        <f>20*Receitas!$C$6</f>
        <v>999.80000000000007</v>
      </c>
      <c r="M11" s="14">
        <f>15*Receitas!$C$7</f>
        <v>3749.8500000000004</v>
      </c>
      <c r="N11" s="14">
        <f>J11+K11+L11+M11-Investimento!$C$7</f>
        <v>5393.4000000000005</v>
      </c>
      <c r="P11" s="15">
        <v>8</v>
      </c>
      <c r="Q11" s="14">
        <f>200*Receitas!$C$4</f>
        <v>998</v>
      </c>
      <c r="R11" s="14">
        <f>100*Receitas!$C$5</f>
        <v>1998.9999999999998</v>
      </c>
      <c r="S11" s="14">
        <f>50*Receitas!$C$6</f>
        <v>2499.5</v>
      </c>
      <c r="T11" s="14">
        <f>30*Receitas!$C$7</f>
        <v>7499.7000000000007</v>
      </c>
      <c r="U11" s="14">
        <f>Q11+R11+S11+T11-Investimento!$C$7</f>
        <v>12641.2</v>
      </c>
    </row>
    <row r="12" spans="2:21" x14ac:dyDescent="0.25">
      <c r="B12" s="15">
        <v>9</v>
      </c>
      <c r="C12" s="14">
        <f>40*Receitas!$C$4</f>
        <v>199.60000000000002</v>
      </c>
      <c r="D12" s="14">
        <f>20*Receitas!$C$5</f>
        <v>399.79999999999995</v>
      </c>
      <c r="E12" s="14">
        <f>5*Receitas!$C$6</f>
        <v>249.95000000000002</v>
      </c>
      <c r="F12" s="14">
        <f>4*Receitas!$C$7</f>
        <v>999.96</v>
      </c>
      <c r="G12" s="14">
        <f>C12+D12+E12+F12-Investimento!$C$7</f>
        <v>1494.31</v>
      </c>
      <c r="I12" s="15">
        <v>9</v>
      </c>
      <c r="J12" s="14">
        <f>100*Receitas!$C$4</f>
        <v>499</v>
      </c>
      <c r="K12" s="14">
        <f>30*Receitas!$C$5</f>
        <v>599.69999999999993</v>
      </c>
      <c r="L12" s="14">
        <f>20*Receitas!$C$6</f>
        <v>999.80000000000007</v>
      </c>
      <c r="M12" s="14">
        <f>15*Receitas!$C$7</f>
        <v>3749.8500000000004</v>
      </c>
      <c r="N12" s="14">
        <f>J12+K12+L12+M12-Investimento!$C$7</f>
        <v>5493.35</v>
      </c>
      <c r="P12" s="15">
        <v>9</v>
      </c>
      <c r="Q12" s="14">
        <f>200*Receitas!$C$4</f>
        <v>998</v>
      </c>
      <c r="R12" s="14">
        <f>100*Receitas!$C$5</f>
        <v>1998.9999999999998</v>
      </c>
      <c r="S12" s="14">
        <f>50*Receitas!$C$6</f>
        <v>2499.5</v>
      </c>
      <c r="T12" s="14">
        <f>30*Receitas!$C$7</f>
        <v>7499.7000000000007</v>
      </c>
      <c r="U12" s="14">
        <f>Q12+R12+S12+T12-Investimento!$C$7</f>
        <v>12641.2</v>
      </c>
    </row>
    <row r="13" spans="2:21" x14ac:dyDescent="0.25">
      <c r="B13" s="15">
        <v>10</v>
      </c>
      <c r="C13" s="14">
        <f>40*Receitas!$C$4</f>
        <v>199.60000000000002</v>
      </c>
      <c r="D13" s="14">
        <f>20*Receitas!$C$5</f>
        <v>399.79999999999995</v>
      </c>
      <c r="E13" s="14">
        <f>5*Receitas!$C$6</f>
        <v>249.95000000000002</v>
      </c>
      <c r="F13" s="14">
        <f>5*Receitas!$C$7</f>
        <v>1249.95</v>
      </c>
      <c r="G13" s="14">
        <f>C13+D13+E13+F13-Investimento!$C$7</f>
        <v>1744.3000000000002</v>
      </c>
      <c r="I13" s="15">
        <v>10</v>
      </c>
      <c r="J13" s="14">
        <f>100*Receitas!$C$4</f>
        <v>499</v>
      </c>
      <c r="K13" s="14">
        <f>30*Receitas!$C$5</f>
        <v>599.69999999999993</v>
      </c>
      <c r="L13" s="14">
        <f>20*Receitas!$C$6</f>
        <v>999.80000000000007</v>
      </c>
      <c r="M13" s="14">
        <f>15*Receitas!$C$7</f>
        <v>3749.8500000000004</v>
      </c>
      <c r="N13" s="14">
        <f>J13+K13+L13+M13-Investimento!$C$7</f>
        <v>5493.35</v>
      </c>
      <c r="P13" s="15">
        <v>10</v>
      </c>
      <c r="Q13" s="14">
        <f>200*Receitas!$C$4</f>
        <v>998</v>
      </c>
      <c r="R13" s="14">
        <f>100*Receitas!$C$5</f>
        <v>1998.9999999999998</v>
      </c>
      <c r="S13" s="14">
        <f>50*Receitas!$C$6</f>
        <v>2499.5</v>
      </c>
      <c r="T13" s="14">
        <f>30*Receitas!$C$7</f>
        <v>7499.7000000000007</v>
      </c>
      <c r="U13" s="14">
        <f>Q13+R13+S13+T13-Investimento!$C$7</f>
        <v>12641.2</v>
      </c>
    </row>
    <row r="14" spans="2:21" x14ac:dyDescent="0.25">
      <c r="B14" s="15">
        <v>11</v>
      </c>
      <c r="C14" s="14">
        <f>40*Receitas!$C$4</f>
        <v>199.60000000000002</v>
      </c>
      <c r="D14" s="14">
        <f>20*Receitas!$C$5</f>
        <v>399.79999999999995</v>
      </c>
      <c r="E14" s="14">
        <f>10*Receitas!$C$6</f>
        <v>499.90000000000003</v>
      </c>
      <c r="F14" s="14">
        <f>5*Receitas!$C$7</f>
        <v>1249.95</v>
      </c>
      <c r="G14" s="14">
        <f>C14+D14+E14+F14-Investimento!$C$7</f>
        <v>1994.25</v>
      </c>
      <c r="I14" s="15">
        <v>11</v>
      </c>
      <c r="J14" s="14">
        <f>100*Receitas!$C$4</f>
        <v>499</v>
      </c>
      <c r="K14" s="14">
        <f>30*Receitas!$C$5</f>
        <v>599.69999999999993</v>
      </c>
      <c r="L14" s="14">
        <f>20*Receitas!$C$6</f>
        <v>999.80000000000007</v>
      </c>
      <c r="M14" s="14">
        <f>15*Receitas!$C$7</f>
        <v>3749.8500000000004</v>
      </c>
      <c r="N14" s="14">
        <f>J14+K14+L14+M14-Investimento!$C$7</f>
        <v>5493.35</v>
      </c>
      <c r="P14" s="15">
        <v>11</v>
      </c>
      <c r="Q14" s="14">
        <f>200*Receitas!$C$4</f>
        <v>998</v>
      </c>
      <c r="R14" s="14">
        <f>100*Receitas!$C$5</f>
        <v>1998.9999999999998</v>
      </c>
      <c r="S14" s="14">
        <f>50*Receitas!$C$6</f>
        <v>2499.5</v>
      </c>
      <c r="T14" s="14">
        <f>30*Receitas!$C$7</f>
        <v>7499.7000000000007</v>
      </c>
      <c r="U14" s="14">
        <f>Q14+R14+S14+T14-Investimento!$C$7</f>
        <v>12641.2</v>
      </c>
    </row>
    <row r="15" spans="2:21" x14ac:dyDescent="0.25">
      <c r="B15" s="15">
        <v>12</v>
      </c>
      <c r="C15" s="14">
        <f>40*Receitas!$C$4</f>
        <v>199.60000000000002</v>
      </c>
      <c r="D15" s="14">
        <f>20*Receitas!$C$5</f>
        <v>399.79999999999995</v>
      </c>
      <c r="E15" s="14">
        <f>10*Receitas!$C$6</f>
        <v>499.90000000000003</v>
      </c>
      <c r="F15" s="14">
        <f>5*Receitas!$C$7</f>
        <v>1249.95</v>
      </c>
      <c r="G15" s="14">
        <f>C15+D15+E15+F15-Investimento!$C$7</f>
        <v>1994.25</v>
      </c>
      <c r="I15" s="15">
        <v>12</v>
      </c>
      <c r="J15" s="14">
        <f>100*Receitas!$C$4</f>
        <v>499</v>
      </c>
      <c r="K15" s="14">
        <f>30*Receitas!$C$5</f>
        <v>599.69999999999993</v>
      </c>
      <c r="L15" s="14">
        <f>20*Receitas!$C$6</f>
        <v>999.80000000000007</v>
      </c>
      <c r="M15" s="14">
        <f>15*Receitas!$C$7</f>
        <v>3749.8500000000004</v>
      </c>
      <c r="N15" s="14">
        <f>J15+K15+L15+M15-Investimento!$C$7</f>
        <v>5493.35</v>
      </c>
      <c r="P15" s="15">
        <v>12</v>
      </c>
      <c r="Q15" s="14">
        <f>200*Receitas!$C$4</f>
        <v>998</v>
      </c>
      <c r="R15" s="14">
        <f>100*Receitas!$C$5</f>
        <v>1998.9999999999998</v>
      </c>
      <c r="S15" s="14">
        <f>50*Receitas!$C$6</f>
        <v>2499.5</v>
      </c>
      <c r="T15" s="14">
        <f>30*Receitas!$C$7</f>
        <v>7499.7000000000007</v>
      </c>
      <c r="U15" s="14">
        <f>Q15+R15+S15+T15-Investimento!$C$7</f>
        <v>12641.2</v>
      </c>
    </row>
    <row r="16" spans="2:21" x14ac:dyDescent="0.25">
      <c r="B16" s="15"/>
      <c r="C16" s="14"/>
      <c r="D16" s="14"/>
      <c r="E16" s="14"/>
      <c r="F16" s="14" t="s">
        <v>42</v>
      </c>
      <c r="G16" s="14">
        <f>NPV(Investimento!F4,G4:G15)</f>
        <v>9114.8981911053797</v>
      </c>
      <c r="I16" s="15"/>
      <c r="J16" s="14"/>
      <c r="K16" s="14"/>
      <c r="L16" s="14"/>
      <c r="M16" s="14" t="s">
        <v>42</v>
      </c>
      <c r="N16" s="14">
        <f>NPV(Investimento!F4,N4:N15)</f>
        <v>48809.124211796872</v>
      </c>
      <c r="P16" s="15"/>
      <c r="Q16" s="14"/>
      <c r="R16" s="14"/>
      <c r="S16" s="14"/>
      <c r="T16" s="14" t="s">
        <v>42</v>
      </c>
      <c r="U16" s="14">
        <f>NPV(Investimento!F4,U4:U15)</f>
        <v>113787.27694667774</v>
      </c>
    </row>
    <row r="17" spans="2:21" x14ac:dyDescent="0.25">
      <c r="B17" s="13"/>
      <c r="C17" s="13"/>
      <c r="D17" s="13"/>
      <c r="E17" s="13"/>
      <c r="F17" s="13"/>
      <c r="G17" s="14">
        <f>FV(Investimento!F4,B15,,-G16)</f>
        <v>10937.87782932654</v>
      </c>
      <c r="I17" s="13"/>
      <c r="J17" s="13"/>
      <c r="K17" s="13"/>
      <c r="L17" s="13"/>
      <c r="M17" s="13"/>
      <c r="N17" s="14">
        <f>FV(Investimento!F4,I15,,-N16)</f>
        <v>58570.949054156699</v>
      </c>
      <c r="P17" s="13"/>
      <c r="Q17" s="13"/>
      <c r="R17" s="13"/>
      <c r="S17" s="13"/>
      <c r="T17" s="13"/>
      <c r="U17" s="14">
        <f>FV(Investimento!F4,P15,,-U16)</f>
        <v>136544.73233601433</v>
      </c>
    </row>
    <row r="18" spans="2:21" x14ac:dyDescent="0.25">
      <c r="B18" s="5"/>
      <c r="C18" s="5"/>
      <c r="D18" s="5"/>
      <c r="E18" s="5"/>
      <c r="F18" s="5"/>
      <c r="G18" s="5"/>
    </row>
    <row r="19" spans="2:21" x14ac:dyDescent="0.25">
      <c r="B19" s="47" t="s">
        <v>37</v>
      </c>
      <c r="C19" s="47"/>
      <c r="D19" s="47"/>
      <c r="E19" s="47"/>
      <c r="F19" s="47"/>
      <c r="G19" s="47"/>
      <c r="I19" s="47" t="s">
        <v>38</v>
      </c>
      <c r="J19" s="47"/>
      <c r="K19" s="47"/>
      <c r="L19" s="47"/>
      <c r="M19" s="47"/>
      <c r="N19" s="47"/>
      <c r="O19" s="2"/>
      <c r="P19" s="47" t="s">
        <v>21</v>
      </c>
      <c r="Q19" s="47"/>
      <c r="S19" s="12" t="s">
        <v>40</v>
      </c>
      <c r="T19" s="12" t="s">
        <v>41</v>
      </c>
    </row>
    <row r="20" spans="2:21" x14ac:dyDescent="0.25">
      <c r="B20" s="31" t="s">
        <v>33</v>
      </c>
      <c r="C20" s="31" t="s">
        <v>28</v>
      </c>
      <c r="D20" s="31" t="s">
        <v>29</v>
      </c>
      <c r="E20" s="31" t="s">
        <v>34</v>
      </c>
      <c r="F20" s="31" t="s">
        <v>31</v>
      </c>
      <c r="G20" s="31" t="s">
        <v>6</v>
      </c>
      <c r="I20" s="31" t="s">
        <v>33</v>
      </c>
      <c r="J20" s="31" t="s">
        <v>28</v>
      </c>
      <c r="K20" s="31" t="s">
        <v>29</v>
      </c>
      <c r="L20" s="31" t="s">
        <v>34</v>
      </c>
      <c r="M20" s="31" t="s">
        <v>31</v>
      </c>
      <c r="N20" s="31" t="s">
        <v>6</v>
      </c>
      <c r="P20" s="31" t="s">
        <v>20</v>
      </c>
      <c r="Q20" s="31" t="s">
        <v>2</v>
      </c>
      <c r="S20" s="31" t="s">
        <v>20</v>
      </c>
      <c r="T20" s="31" t="s">
        <v>2</v>
      </c>
    </row>
    <row r="21" spans="2:21" x14ac:dyDescent="0.25">
      <c r="B21" s="13">
        <v>1</v>
      </c>
      <c r="C21" s="14">
        <f>250*Receitas!$C$4</f>
        <v>1247.5</v>
      </c>
      <c r="D21" s="14">
        <f>100*Receitas!$C$5</f>
        <v>1998.9999999999998</v>
      </c>
      <c r="E21" s="14">
        <f>50*Receitas!$C$6</f>
        <v>2499.5</v>
      </c>
      <c r="F21" s="14">
        <f>30*Receitas!$C$7</f>
        <v>7499.7000000000007</v>
      </c>
      <c r="G21" s="14">
        <f>C21+D21+E21+F21-Investimento!$C$7</f>
        <v>12890.7</v>
      </c>
      <c r="I21" s="13">
        <v>1</v>
      </c>
      <c r="J21" s="14">
        <f>300*Receitas!$C$4</f>
        <v>1497</v>
      </c>
      <c r="K21" s="14">
        <f>150*Receitas!$C$5</f>
        <v>2998.4999999999995</v>
      </c>
      <c r="L21" s="14">
        <f>100*Receitas!$C$6</f>
        <v>4999</v>
      </c>
      <c r="M21" s="14">
        <f>50*Receitas!$C$7</f>
        <v>12499.5</v>
      </c>
      <c r="N21" s="14">
        <f>J21+K21+L21+M21-Investimento!$C$7</f>
        <v>21639</v>
      </c>
      <c r="O21" s="3"/>
      <c r="P21" s="13">
        <v>0</v>
      </c>
      <c r="Q21" s="14">
        <f>-Investimento!C24</f>
        <v>-86735</v>
      </c>
      <c r="S21" s="23">
        <v>0</v>
      </c>
      <c r="T21" s="13">
        <v>0</v>
      </c>
    </row>
    <row r="22" spans="2:21" x14ac:dyDescent="0.25">
      <c r="B22" s="13">
        <v>2</v>
      </c>
      <c r="C22" s="14">
        <f>250*Receitas!$C$4</f>
        <v>1247.5</v>
      </c>
      <c r="D22" s="14">
        <f>100*Receitas!$C$5</f>
        <v>1998.9999999999998</v>
      </c>
      <c r="E22" s="14">
        <f>50*Receitas!$C$6</f>
        <v>2499.5</v>
      </c>
      <c r="F22" s="14">
        <f>30*Receitas!$C$7</f>
        <v>7499.7000000000007</v>
      </c>
      <c r="G22" s="14">
        <f>C22+D22+E22+F22-Investimento!$C$7</f>
        <v>12890.7</v>
      </c>
      <c r="I22" s="13">
        <v>2</v>
      </c>
      <c r="J22" s="14">
        <f>300*Receitas!$C$4</f>
        <v>1497</v>
      </c>
      <c r="K22" s="14">
        <f>150*Receitas!$C$5</f>
        <v>2998.4999999999995</v>
      </c>
      <c r="L22" s="14">
        <f>100*Receitas!$C$6</f>
        <v>4999</v>
      </c>
      <c r="M22" s="14">
        <f>50*Receitas!$C$7</f>
        <v>12499.5</v>
      </c>
      <c r="N22" s="14">
        <f>J22+K22+L22+M22-Investimento!$C$7</f>
        <v>21639</v>
      </c>
      <c r="O22" s="3"/>
      <c r="P22" s="13">
        <v>1</v>
      </c>
      <c r="Q22" s="18">
        <f>G17</f>
        <v>10937.87782932654</v>
      </c>
      <c r="S22" s="18">
        <f>PV(Investimento!$F$3,P22,,-Q22)</f>
        <v>9114.8981911054507</v>
      </c>
      <c r="T22" s="18">
        <f>S22+T21</f>
        <v>9114.8981911054507</v>
      </c>
    </row>
    <row r="23" spans="2:21" x14ac:dyDescent="0.25">
      <c r="B23" s="13">
        <v>3</v>
      </c>
      <c r="C23" s="14">
        <f>250*Receitas!$C$4</f>
        <v>1247.5</v>
      </c>
      <c r="D23" s="14">
        <f>100*Receitas!$C$5</f>
        <v>1998.9999999999998</v>
      </c>
      <c r="E23" s="14">
        <f>50*Receitas!$C$6</f>
        <v>2499.5</v>
      </c>
      <c r="F23" s="14">
        <f>30*Receitas!$C$7</f>
        <v>7499.7000000000007</v>
      </c>
      <c r="G23" s="14">
        <f>C23+D23+E23+F23-Investimento!$C$7</f>
        <v>12890.7</v>
      </c>
      <c r="I23" s="13">
        <v>3</v>
      </c>
      <c r="J23" s="14">
        <f>300*Receitas!$C$4</f>
        <v>1497</v>
      </c>
      <c r="K23" s="14">
        <f>150*Receitas!$C$5</f>
        <v>2998.4999999999995</v>
      </c>
      <c r="L23" s="14">
        <f>100*Receitas!$C$6</f>
        <v>4999</v>
      </c>
      <c r="M23" s="14">
        <f>50*Receitas!$C$7</f>
        <v>12499.5</v>
      </c>
      <c r="N23" s="14">
        <f>J23+K23+L23+M23-Investimento!$C$7</f>
        <v>21639</v>
      </c>
      <c r="O23" s="3"/>
      <c r="P23" s="13">
        <v>2</v>
      </c>
      <c r="Q23" s="18">
        <f>N17</f>
        <v>58570.949054156699</v>
      </c>
      <c r="S23" s="18">
        <f>PV(Investimento!$F$3,P23,,-Q23)</f>
        <v>40674.27017649771</v>
      </c>
      <c r="T23" s="8">
        <f t="shared" ref="T23:T26" si="0">S23+T22</f>
        <v>49789.168367603161</v>
      </c>
    </row>
    <row r="24" spans="2:21" x14ac:dyDescent="0.25">
      <c r="B24" s="13">
        <v>4</v>
      </c>
      <c r="C24" s="14">
        <f>250*Receitas!$C$4</f>
        <v>1247.5</v>
      </c>
      <c r="D24" s="14">
        <f>100*Receitas!$C$5</f>
        <v>1998.9999999999998</v>
      </c>
      <c r="E24" s="14">
        <f>50*Receitas!$C$6</f>
        <v>2499.5</v>
      </c>
      <c r="F24" s="14">
        <f>30*Receitas!$C$7</f>
        <v>7499.7000000000007</v>
      </c>
      <c r="G24" s="14">
        <f>C24+D24+E24+F24-Investimento!$C$7</f>
        <v>12890.7</v>
      </c>
      <c r="I24" s="13">
        <v>4</v>
      </c>
      <c r="J24" s="14">
        <f>300*Receitas!$C$4</f>
        <v>1497</v>
      </c>
      <c r="K24" s="14">
        <f>150*Receitas!$C$5</f>
        <v>2998.4999999999995</v>
      </c>
      <c r="L24" s="14">
        <f>100*Receitas!$C$6</f>
        <v>4999</v>
      </c>
      <c r="M24" s="14">
        <f>50*Receitas!$C$7</f>
        <v>12499.5</v>
      </c>
      <c r="N24" s="14">
        <f>J24+K24+L24+M24-Investimento!$C$7</f>
        <v>21639</v>
      </c>
      <c r="O24" s="3"/>
      <c r="P24" s="13">
        <v>3</v>
      </c>
      <c r="Q24" s="18">
        <f>U17</f>
        <v>136544.73233601433</v>
      </c>
      <c r="S24" s="18">
        <f>PV(Investimento!$F$3,P24,,-Q24)</f>
        <v>79018.942324082367</v>
      </c>
      <c r="T24" s="8">
        <f t="shared" si="0"/>
        <v>128808.11069168552</v>
      </c>
    </row>
    <row r="25" spans="2:21" x14ac:dyDescent="0.25">
      <c r="B25" s="15">
        <v>5</v>
      </c>
      <c r="C25" s="14">
        <f>250*Receitas!$C$4</f>
        <v>1247.5</v>
      </c>
      <c r="D25" s="14">
        <f>100*Receitas!$C$5</f>
        <v>1998.9999999999998</v>
      </c>
      <c r="E25" s="14">
        <f>50*Receitas!$C$6</f>
        <v>2499.5</v>
      </c>
      <c r="F25" s="14">
        <f>30*Receitas!$C$7</f>
        <v>7499.7000000000007</v>
      </c>
      <c r="G25" s="14">
        <f>C25+D25+E25+F25-Investimento!$C$7</f>
        <v>12890.7</v>
      </c>
      <c r="I25" s="15">
        <v>5</v>
      </c>
      <c r="J25" s="14">
        <f>300*Receitas!$C$4</f>
        <v>1497</v>
      </c>
      <c r="K25" s="14">
        <f>150*Receitas!$C$5</f>
        <v>2998.4999999999995</v>
      </c>
      <c r="L25" s="14">
        <f>100*Receitas!$C$6</f>
        <v>4999</v>
      </c>
      <c r="M25" s="14">
        <f>50*Receitas!$C$7</f>
        <v>12499.5</v>
      </c>
      <c r="N25" s="14">
        <f>J25+K25+L25+M25-Investimento!$C$7</f>
        <v>21639</v>
      </c>
      <c r="O25" s="3"/>
      <c r="P25" s="13">
        <v>4</v>
      </c>
      <c r="Q25" s="18">
        <f>G34</f>
        <v>168401.6439396303</v>
      </c>
      <c r="S25" s="18">
        <f>PV(Investimento!$F$3,P25,,-Q25)</f>
        <v>81212.212548047028</v>
      </c>
      <c r="T25" s="18">
        <f t="shared" si="0"/>
        <v>210020.32323973253</v>
      </c>
    </row>
    <row r="26" spans="2:21" x14ac:dyDescent="0.25">
      <c r="B26" s="15">
        <v>6</v>
      </c>
      <c r="C26" s="14">
        <f>250*Receitas!$C$4</f>
        <v>1247.5</v>
      </c>
      <c r="D26" s="14">
        <f>100*Receitas!$C$5</f>
        <v>1998.9999999999998</v>
      </c>
      <c r="E26" s="14">
        <f>50*Receitas!$C$6</f>
        <v>2499.5</v>
      </c>
      <c r="F26" s="14">
        <f>30*Receitas!$C$7</f>
        <v>7499.7000000000007</v>
      </c>
      <c r="G26" s="14">
        <f>C26+D26+E26+F26-Investimento!$C$7</f>
        <v>12890.7</v>
      </c>
      <c r="I26" s="15">
        <v>6</v>
      </c>
      <c r="J26" s="14">
        <f>300*Receitas!$C$4</f>
        <v>1497</v>
      </c>
      <c r="K26" s="14">
        <f>150*Receitas!$C$5</f>
        <v>2998.4999999999995</v>
      </c>
      <c r="L26" s="14">
        <f>100*Receitas!$C$6</f>
        <v>4999</v>
      </c>
      <c r="M26" s="14">
        <f>50*Receitas!$C$7</f>
        <v>12499.5</v>
      </c>
      <c r="N26" s="14">
        <f>J26+K26+L26+M26-Investimento!$C$7</f>
        <v>21639</v>
      </c>
      <c r="O26" s="3"/>
      <c r="P26" s="13">
        <v>5</v>
      </c>
      <c r="Q26" s="18">
        <f>N34</f>
        <v>282687.76507169189</v>
      </c>
      <c r="S26" s="18">
        <f>PV(Investimento!$F$3,P26,,-Q26)</f>
        <v>113605.87266577124</v>
      </c>
      <c r="T26" s="18">
        <f t="shared" si="0"/>
        <v>323626.19590550376</v>
      </c>
    </row>
    <row r="27" spans="2:21" x14ac:dyDescent="0.25">
      <c r="B27" s="15">
        <v>7</v>
      </c>
      <c r="C27" s="14">
        <f>250*Receitas!$C$4</f>
        <v>1247.5</v>
      </c>
      <c r="D27" s="14">
        <f>100*Receitas!$C$5</f>
        <v>1998.9999999999998</v>
      </c>
      <c r="E27" s="14">
        <f>50*Receitas!$C$6</f>
        <v>2499.5</v>
      </c>
      <c r="F27" s="14">
        <f>30*Receitas!$C$7</f>
        <v>7499.7000000000007</v>
      </c>
      <c r="G27" s="14">
        <f>C27+D27+E27+F27-Investimento!$C$7</f>
        <v>12890.7</v>
      </c>
      <c r="I27" s="15">
        <v>7</v>
      </c>
      <c r="J27" s="14">
        <f>300*Receitas!$C$4</f>
        <v>1497</v>
      </c>
      <c r="K27" s="14">
        <f>150*Receitas!$C$5</f>
        <v>2998.4999999999995</v>
      </c>
      <c r="L27" s="14">
        <f>100*Receitas!$C$6</f>
        <v>4999</v>
      </c>
      <c r="M27" s="14">
        <f>50*Receitas!$C$7</f>
        <v>12499.5</v>
      </c>
      <c r="N27" s="14">
        <f>J27+K27+L27+M27-Investimento!$C$7</f>
        <v>21639</v>
      </c>
      <c r="O27" s="3"/>
      <c r="P27" s="31" t="s">
        <v>39</v>
      </c>
      <c r="Q27" s="18">
        <f>NPV(Investimento!F3,Q22:Q26)</f>
        <v>323626.19590550382</v>
      </c>
    </row>
    <row r="28" spans="2:21" x14ac:dyDescent="0.25">
      <c r="B28" s="15">
        <v>8</v>
      </c>
      <c r="C28" s="14">
        <f>250*Receitas!$C$4</f>
        <v>1247.5</v>
      </c>
      <c r="D28" s="14">
        <f>100*Receitas!$C$5</f>
        <v>1998.9999999999998</v>
      </c>
      <c r="E28" s="14">
        <f>50*Receitas!$C$6</f>
        <v>2499.5</v>
      </c>
      <c r="F28" s="14">
        <f>30*Receitas!$C$7</f>
        <v>7499.7000000000007</v>
      </c>
      <c r="G28" s="14">
        <f>C28+D28+E28+F28-Investimento!$C$7</f>
        <v>12890.7</v>
      </c>
      <c r="I28" s="15">
        <v>8</v>
      </c>
      <c r="J28" s="14">
        <f>300*Receitas!$C$4</f>
        <v>1497</v>
      </c>
      <c r="K28" s="14">
        <f>150*Receitas!$C$5</f>
        <v>2998.4999999999995</v>
      </c>
      <c r="L28" s="14">
        <f>100*Receitas!$C$6</f>
        <v>4999</v>
      </c>
      <c r="M28" s="14">
        <f>50*Receitas!$C$7</f>
        <v>12499.5</v>
      </c>
      <c r="N28" s="14">
        <f>J28+K28+L28+M28-Investimento!$C$7</f>
        <v>21639</v>
      </c>
      <c r="O28" s="3"/>
      <c r="P28" s="31" t="s">
        <v>22</v>
      </c>
      <c r="Q28" s="18">
        <f>Q21+Q27</f>
        <v>236891.19590550382</v>
      </c>
      <c r="S28" s="18">
        <f>-Q21-T23</f>
        <v>36945.831632396839</v>
      </c>
    </row>
    <row r="29" spans="2:21" x14ac:dyDescent="0.25">
      <c r="B29" s="15">
        <v>9</v>
      </c>
      <c r="C29" s="14">
        <f>250*Receitas!$C$4</f>
        <v>1247.5</v>
      </c>
      <c r="D29" s="14">
        <f>100*Receitas!$C$5</f>
        <v>1998.9999999999998</v>
      </c>
      <c r="E29" s="14">
        <f>50*Receitas!$C$6</f>
        <v>2499.5</v>
      </c>
      <c r="F29" s="14">
        <f>30*Receitas!$C$7</f>
        <v>7499.7000000000007</v>
      </c>
      <c r="G29" s="14">
        <f>C29+D29+E29+F29-Investimento!$C$7</f>
        <v>12890.7</v>
      </c>
      <c r="I29" s="15">
        <v>9</v>
      </c>
      <c r="J29" s="14">
        <f>300*Receitas!$C$4</f>
        <v>1497</v>
      </c>
      <c r="K29" s="14">
        <f>150*Receitas!$C$5</f>
        <v>2998.4999999999995</v>
      </c>
      <c r="L29" s="14">
        <f>100*Receitas!$C$6</f>
        <v>4999</v>
      </c>
      <c r="M29" s="14">
        <f>50*Receitas!$C$7</f>
        <v>12499.5</v>
      </c>
      <c r="N29" s="14">
        <f>J29+K29+L29+M29-Investimento!$C$7</f>
        <v>21639</v>
      </c>
      <c r="O29" s="3"/>
      <c r="P29" s="31" t="s">
        <v>23</v>
      </c>
      <c r="Q29" s="18">
        <f>PMT(Investimento!F3,P26,-Q28)</f>
        <v>79211.607798804471</v>
      </c>
      <c r="S29" s="18">
        <f>T24-T23</f>
        <v>79018.942324082367</v>
      </c>
    </row>
    <row r="30" spans="2:21" x14ac:dyDescent="0.25">
      <c r="B30" s="15">
        <v>10</v>
      </c>
      <c r="C30" s="14">
        <f>250*Receitas!$C$4</f>
        <v>1247.5</v>
      </c>
      <c r="D30" s="14">
        <f>100*Receitas!$C$5</f>
        <v>1998.9999999999998</v>
      </c>
      <c r="E30" s="14">
        <f>50*Receitas!$C$6</f>
        <v>2499.5</v>
      </c>
      <c r="F30" s="14">
        <f>30*Receitas!$C$7</f>
        <v>7499.7000000000007</v>
      </c>
      <c r="G30" s="14">
        <f>C30+D30+E30+F30-Investimento!$C$7</f>
        <v>12890.7</v>
      </c>
      <c r="I30" s="15">
        <v>10</v>
      </c>
      <c r="J30" s="14">
        <f>300*Receitas!$C$4</f>
        <v>1497</v>
      </c>
      <c r="K30" s="14">
        <f>150*Receitas!$C$5</f>
        <v>2998.4999999999995</v>
      </c>
      <c r="L30" s="14">
        <f>100*Receitas!$C$6</f>
        <v>4999</v>
      </c>
      <c r="M30" s="14">
        <f>50*Receitas!$C$7</f>
        <v>12499.5</v>
      </c>
      <c r="N30" s="14">
        <f>J30+K30+L30+M30-Investimento!$C$7</f>
        <v>21639</v>
      </c>
      <c r="O30" s="3"/>
      <c r="P30" s="31" t="s">
        <v>24</v>
      </c>
      <c r="Q30" s="36">
        <f>Q27/-Q21</f>
        <v>3.7312065014758033</v>
      </c>
      <c r="S30" s="36">
        <f>S28/S29</f>
        <v>0.46755664585929252</v>
      </c>
    </row>
    <row r="31" spans="2:21" x14ac:dyDescent="0.25">
      <c r="B31" s="15">
        <v>11</v>
      </c>
      <c r="C31" s="14">
        <f>250*Receitas!$C$4</f>
        <v>1247.5</v>
      </c>
      <c r="D31" s="14">
        <f>100*Receitas!$C$5</f>
        <v>1998.9999999999998</v>
      </c>
      <c r="E31" s="14">
        <f>50*Receitas!$C$6</f>
        <v>2499.5</v>
      </c>
      <c r="F31" s="14">
        <f>30*Receitas!$C$7</f>
        <v>7499.7000000000007</v>
      </c>
      <c r="G31" s="14">
        <f>C31+D31+E31+F31-Investimento!$C$7</f>
        <v>12890.7</v>
      </c>
      <c r="I31" s="15">
        <v>11</v>
      </c>
      <c r="J31" s="14">
        <f>300*Receitas!$C$4</f>
        <v>1497</v>
      </c>
      <c r="K31" s="14">
        <f>150*Receitas!$C$5</f>
        <v>2998.4999999999995</v>
      </c>
      <c r="L31" s="14">
        <f>100*Receitas!$C$6</f>
        <v>4999</v>
      </c>
      <c r="M31" s="14">
        <f>50*Receitas!$C$7</f>
        <v>12499.5</v>
      </c>
      <c r="N31" s="14">
        <f>J31+K31+L31+M31-Investimento!$C$7</f>
        <v>21639</v>
      </c>
      <c r="O31" s="3"/>
      <c r="P31" s="31" t="s">
        <v>25</v>
      </c>
      <c r="Q31" s="37">
        <f>RATE(P26,,-1,Q30)</f>
        <v>0.30127730973995753</v>
      </c>
      <c r="R31" t="s">
        <v>43</v>
      </c>
    </row>
    <row r="32" spans="2:21" x14ac:dyDescent="0.25">
      <c r="B32" s="15">
        <v>12</v>
      </c>
      <c r="C32" s="14">
        <f>250*Receitas!$C$4</f>
        <v>1247.5</v>
      </c>
      <c r="D32" s="14">
        <f>100*Receitas!$C$5</f>
        <v>1998.9999999999998</v>
      </c>
      <c r="E32" s="14">
        <f>50*Receitas!$C$6</f>
        <v>2499.5</v>
      </c>
      <c r="F32" s="14">
        <f>30*Receitas!$C$7</f>
        <v>7499.7000000000007</v>
      </c>
      <c r="G32" s="14">
        <f>C32+D32+E32+F32-Investimento!$C$7</f>
        <v>12890.7</v>
      </c>
      <c r="I32" s="15">
        <v>12</v>
      </c>
      <c r="J32" s="14">
        <f>300*Receitas!$C$4</f>
        <v>1497</v>
      </c>
      <c r="K32" s="14">
        <f>150*Receitas!$C$5</f>
        <v>2998.4999999999995</v>
      </c>
      <c r="L32" s="14">
        <f>100*Receitas!$C$6</f>
        <v>4999</v>
      </c>
      <c r="M32" s="14">
        <f>50*Receitas!$C$7</f>
        <v>12499.5</v>
      </c>
      <c r="N32" s="14">
        <f>J32+K32+L32+M32-Investimento!$C$7</f>
        <v>21639</v>
      </c>
      <c r="O32" s="3"/>
      <c r="P32" s="31" t="s">
        <v>27</v>
      </c>
      <c r="Q32" s="37">
        <f>IRR(Q21:Q26)</f>
        <v>0.74561336940989786</v>
      </c>
      <c r="R32" t="s">
        <v>43</v>
      </c>
    </row>
    <row r="33" spans="2:18" x14ac:dyDescent="0.25">
      <c r="B33" s="15"/>
      <c r="C33" s="14"/>
      <c r="D33" s="14"/>
      <c r="E33" s="14"/>
      <c r="F33" s="14" t="s">
        <v>42</v>
      </c>
      <c r="G33" s="14">
        <f>NPV(Investimento!F4,G21:G32)</f>
        <v>140334.70328302417</v>
      </c>
      <c r="I33" s="15"/>
      <c r="J33" s="14"/>
      <c r="K33" s="14"/>
      <c r="L33" s="14"/>
      <c r="M33" s="14" t="s">
        <v>42</v>
      </c>
      <c r="N33" s="14">
        <f>NPV(Investimento!F4,N21:N32)</f>
        <v>235573.13755974142</v>
      </c>
      <c r="O33" s="3"/>
      <c r="P33" s="31" t="s">
        <v>26</v>
      </c>
      <c r="Q33" s="36">
        <f>P23+S30</f>
        <v>2.4675566458592924</v>
      </c>
      <c r="R33" t="s">
        <v>44</v>
      </c>
    </row>
    <row r="34" spans="2:18" x14ac:dyDescent="0.25">
      <c r="B34" s="13"/>
      <c r="C34" s="13"/>
      <c r="D34" s="13"/>
      <c r="E34" s="13"/>
      <c r="F34" s="13"/>
      <c r="G34" s="14">
        <f>FV(Investimento!F4,B32,,-G33)</f>
        <v>168401.6439396303</v>
      </c>
      <c r="I34" s="13"/>
      <c r="J34" s="13"/>
      <c r="K34" s="13"/>
      <c r="L34" s="13"/>
      <c r="M34" s="13"/>
      <c r="N34" s="14">
        <f>FV(Investimento!F4,I32,,-N33)</f>
        <v>282687.76507169189</v>
      </c>
      <c r="O34" s="3"/>
      <c r="P34" s="51"/>
      <c r="Q34" s="52"/>
    </row>
  </sheetData>
  <mergeCells count="6">
    <mergeCell ref="I2:N2"/>
    <mergeCell ref="P2:U2"/>
    <mergeCell ref="B19:G19"/>
    <mergeCell ref="I19:N19"/>
    <mergeCell ref="P19:Q19"/>
    <mergeCell ref="B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4"/>
  <sheetViews>
    <sheetView topLeftCell="G19" workbookViewId="0">
      <selection activeCell="G16" sqref="G16"/>
    </sheetView>
  </sheetViews>
  <sheetFormatPr defaultRowHeight="15" x14ac:dyDescent="0.25"/>
  <cols>
    <col min="2" max="2" width="12.85546875" customWidth="1"/>
    <col min="3" max="3" width="12.7109375" customWidth="1"/>
    <col min="4" max="4" width="16.85546875" customWidth="1"/>
    <col min="5" max="5" width="20.7109375" customWidth="1"/>
    <col min="6" max="6" width="19.42578125" customWidth="1"/>
    <col min="7" max="7" width="15.7109375" customWidth="1"/>
    <col min="8" max="8" width="14.85546875" customWidth="1"/>
    <col min="9" max="9" width="13.7109375" customWidth="1"/>
    <col min="10" max="10" width="10.42578125" customWidth="1"/>
    <col min="11" max="11" width="10.85546875" customWidth="1"/>
    <col min="12" max="12" width="12.140625" customWidth="1"/>
    <col min="13" max="13" width="12" customWidth="1"/>
    <col min="14" max="14" width="12.7109375" customWidth="1"/>
    <col min="16" max="16" width="12.85546875" customWidth="1"/>
    <col min="17" max="17" width="13.7109375" customWidth="1"/>
    <col min="18" max="18" width="10.7109375" bestFit="1" customWidth="1"/>
    <col min="19" max="19" width="17.42578125" customWidth="1"/>
    <col min="20" max="20" width="15.42578125" customWidth="1"/>
    <col min="21" max="21" width="13" customWidth="1"/>
  </cols>
  <sheetData>
    <row r="2" spans="2:21" x14ac:dyDescent="0.25">
      <c r="B2" s="48" t="s">
        <v>32</v>
      </c>
      <c r="C2" s="48"/>
      <c r="D2" s="48"/>
      <c r="E2" s="48"/>
      <c r="F2" s="48"/>
      <c r="G2" s="48"/>
      <c r="I2" s="48" t="s">
        <v>35</v>
      </c>
      <c r="J2" s="48"/>
      <c r="K2" s="48"/>
      <c r="L2" s="48"/>
      <c r="M2" s="48"/>
      <c r="N2" s="48"/>
      <c r="P2" s="48" t="s">
        <v>36</v>
      </c>
      <c r="Q2" s="48"/>
      <c r="R2" s="48"/>
      <c r="S2" s="48"/>
      <c r="T2" s="48"/>
      <c r="U2" s="48"/>
    </row>
    <row r="3" spans="2:21" x14ac:dyDescent="0.25">
      <c r="B3" s="9" t="s">
        <v>33</v>
      </c>
      <c r="C3" s="9" t="s">
        <v>28</v>
      </c>
      <c r="D3" s="9" t="s">
        <v>29</v>
      </c>
      <c r="E3" s="9" t="s">
        <v>34</v>
      </c>
      <c r="F3" s="9" t="s">
        <v>31</v>
      </c>
      <c r="G3" s="9" t="s">
        <v>6</v>
      </c>
      <c r="I3" s="9" t="s">
        <v>33</v>
      </c>
      <c r="J3" s="9" t="s">
        <v>28</v>
      </c>
      <c r="K3" s="9" t="s">
        <v>29</v>
      </c>
      <c r="L3" s="9" t="s">
        <v>34</v>
      </c>
      <c r="M3" s="9" t="s">
        <v>31</v>
      </c>
      <c r="N3" s="9" t="s">
        <v>6</v>
      </c>
      <c r="P3" s="9" t="s">
        <v>33</v>
      </c>
      <c r="Q3" s="9" t="s">
        <v>28</v>
      </c>
      <c r="R3" s="9" t="s">
        <v>29</v>
      </c>
      <c r="S3" s="9" t="s">
        <v>34</v>
      </c>
      <c r="T3" s="9" t="s">
        <v>31</v>
      </c>
      <c r="U3" s="9" t="s">
        <v>6</v>
      </c>
    </row>
    <row r="4" spans="2:21" x14ac:dyDescent="0.25">
      <c r="B4" s="11">
        <v>1</v>
      </c>
      <c r="C4" s="16">
        <f>20*Receitas!$C$4</f>
        <v>99.800000000000011</v>
      </c>
      <c r="D4" s="16">
        <f>10*Receitas!$C$5</f>
        <v>199.89999999999998</v>
      </c>
      <c r="E4" s="16">
        <f>5*Receitas!$C$6</f>
        <v>249.95000000000002</v>
      </c>
      <c r="F4" s="16">
        <f>2*Receitas!$C$7</f>
        <v>499.98</v>
      </c>
      <c r="G4" s="16">
        <f>C4+D4+E4+F4-Investimento!$C$7</f>
        <v>694.63000000000011</v>
      </c>
      <c r="I4" s="11">
        <v>1</v>
      </c>
      <c r="J4" s="16">
        <f>280*Receitas!$C$4</f>
        <v>1397.2</v>
      </c>
      <c r="K4" s="16">
        <f>140*Receitas!$C$5</f>
        <v>2798.6</v>
      </c>
      <c r="L4" s="16">
        <f>30*Receitas!$C$6</f>
        <v>1499.7</v>
      </c>
      <c r="M4" s="16">
        <f>20*Receitas!$C$7</f>
        <v>4999.8</v>
      </c>
      <c r="N4" s="16">
        <f>J4+K4+L4+M4-Investimento!$C$7</f>
        <v>10340.299999999999</v>
      </c>
      <c r="P4" s="11">
        <v>1</v>
      </c>
      <c r="Q4" s="16">
        <f>380*Receitas!$C$4</f>
        <v>1896.2</v>
      </c>
      <c r="R4" s="16">
        <f>200*Receitas!$C$5</f>
        <v>3997.9999999999995</v>
      </c>
      <c r="S4" s="16">
        <f>50*Receitas!$C$6</f>
        <v>2499.5</v>
      </c>
      <c r="T4" s="16">
        <f>30*Receitas!$C$7</f>
        <v>7499.7000000000007</v>
      </c>
      <c r="U4" s="16">
        <f>Q4+R4+S4+T4-Investimento!$C$7</f>
        <v>15538.400000000001</v>
      </c>
    </row>
    <row r="5" spans="2:21" x14ac:dyDescent="0.25">
      <c r="B5" s="11">
        <v>2</v>
      </c>
      <c r="C5" s="16">
        <f>30*Receitas!$C$4</f>
        <v>149.70000000000002</v>
      </c>
      <c r="D5" s="16">
        <f>15*Receitas!$C$5</f>
        <v>299.84999999999997</v>
      </c>
      <c r="E5" s="16">
        <f>5*Receitas!$C$6</f>
        <v>249.95000000000002</v>
      </c>
      <c r="F5" s="16">
        <f>3*Receitas!$C$7</f>
        <v>749.97</v>
      </c>
      <c r="G5" s="16">
        <f>C5+D5+E5+F5-Investimento!$C$7</f>
        <v>1094.47</v>
      </c>
      <c r="I5" s="11">
        <v>2</v>
      </c>
      <c r="J5" s="16">
        <f>280*Receitas!$C$4</f>
        <v>1397.2</v>
      </c>
      <c r="K5" s="16">
        <f>140*Receitas!$C$5</f>
        <v>2798.6</v>
      </c>
      <c r="L5" s="16">
        <f>30*Receitas!$C$6</f>
        <v>1499.7</v>
      </c>
      <c r="M5" s="16">
        <f>20*Receitas!$C$7</f>
        <v>4999.8</v>
      </c>
      <c r="N5" s="16">
        <f>J5+K5+L5+M5-Investimento!$C$7</f>
        <v>10340.299999999999</v>
      </c>
      <c r="P5" s="11">
        <v>2</v>
      </c>
      <c r="Q5" s="16">
        <f>380*Receitas!$C$4</f>
        <v>1896.2</v>
      </c>
      <c r="R5" s="16">
        <f>200*Receitas!$C$5</f>
        <v>3997.9999999999995</v>
      </c>
      <c r="S5" s="16">
        <f>50*Receitas!$C$6</f>
        <v>2499.5</v>
      </c>
      <c r="T5" s="16">
        <f>30*Receitas!$C$7</f>
        <v>7499.7000000000007</v>
      </c>
      <c r="U5" s="16">
        <f>Q5+R5+S5+T5-Investimento!$C$7</f>
        <v>15538.400000000001</v>
      </c>
    </row>
    <row r="6" spans="2:21" x14ac:dyDescent="0.25">
      <c r="B6" s="11">
        <v>3</v>
      </c>
      <c r="C6" s="16">
        <f>60*Receitas!$C$4</f>
        <v>299.40000000000003</v>
      </c>
      <c r="D6" s="16">
        <f>30*Receitas!$C$5</f>
        <v>599.69999999999993</v>
      </c>
      <c r="E6" s="16">
        <f>10*Receitas!$C$6</f>
        <v>499.90000000000003</v>
      </c>
      <c r="F6" s="16">
        <f>5*Receitas!$C$7</f>
        <v>1249.95</v>
      </c>
      <c r="G6" s="16">
        <f>C6+D6+E6+F6-Investimento!$C$7</f>
        <v>2293.9499999999998</v>
      </c>
      <c r="I6" s="11">
        <v>3</v>
      </c>
      <c r="J6" s="16">
        <f>300*Receitas!$C$4</f>
        <v>1497</v>
      </c>
      <c r="K6" s="16">
        <f>150*Receitas!$C$5</f>
        <v>2998.4999999999995</v>
      </c>
      <c r="L6" s="16">
        <f>30*Receitas!$C$6</f>
        <v>1499.7</v>
      </c>
      <c r="M6" s="16">
        <f>20*Receitas!$C$7</f>
        <v>4999.8</v>
      </c>
      <c r="N6" s="16">
        <f>J6+K6+L6+M6-Investimento!$C$7</f>
        <v>10640</v>
      </c>
      <c r="P6" s="11">
        <v>3</v>
      </c>
      <c r="Q6" s="16">
        <f>380*Receitas!$C$4</f>
        <v>1896.2</v>
      </c>
      <c r="R6" s="16">
        <f>200*Receitas!$C$5</f>
        <v>3997.9999999999995</v>
      </c>
      <c r="S6" s="16">
        <f>50*Receitas!$C$6</f>
        <v>2499.5</v>
      </c>
      <c r="T6" s="16">
        <f>30*Receitas!$C$7</f>
        <v>7499.7000000000007</v>
      </c>
      <c r="U6" s="16">
        <f>Q6+R6+S6+T6-Investimento!$C$7</f>
        <v>15538.400000000001</v>
      </c>
    </row>
    <row r="7" spans="2:21" x14ac:dyDescent="0.25">
      <c r="B7" s="11">
        <v>4</v>
      </c>
      <c r="C7" s="16">
        <f>80*Receitas!$C$4</f>
        <v>399.20000000000005</v>
      </c>
      <c r="D7" s="16">
        <f>50*Receitas!$C$5</f>
        <v>999.49999999999989</v>
      </c>
      <c r="E7" s="16">
        <f>10*Receitas!$C$6</f>
        <v>499.90000000000003</v>
      </c>
      <c r="F7" s="16">
        <f>5*Receitas!$C$7</f>
        <v>1249.95</v>
      </c>
      <c r="G7" s="16">
        <f>C7+D7+E7+F7-Investimento!$C$7</f>
        <v>2793.55</v>
      </c>
      <c r="I7" s="11">
        <v>4</v>
      </c>
      <c r="J7" s="16">
        <f>300*Receitas!$C$4</f>
        <v>1497</v>
      </c>
      <c r="K7" s="16">
        <f>150*Receitas!$C$5</f>
        <v>2998.4999999999995</v>
      </c>
      <c r="L7" s="16">
        <f>30*Receitas!$C$6</f>
        <v>1499.7</v>
      </c>
      <c r="M7" s="16">
        <f>20*Receitas!$C$7</f>
        <v>4999.8</v>
      </c>
      <c r="N7" s="16">
        <f>J7+K7+L7+M7-Investimento!$C$7</f>
        <v>10640</v>
      </c>
      <c r="P7" s="11">
        <v>4</v>
      </c>
      <c r="Q7" s="16">
        <f>380*Receitas!$C$4</f>
        <v>1896.2</v>
      </c>
      <c r="R7" s="16">
        <f>200*Receitas!$C$5</f>
        <v>3997.9999999999995</v>
      </c>
      <c r="S7" s="16">
        <f>50*Receitas!$C$6</f>
        <v>2499.5</v>
      </c>
      <c r="T7" s="16">
        <f>30*Receitas!$C$7</f>
        <v>7499.7000000000007</v>
      </c>
      <c r="U7" s="16">
        <f>Q7+R7+S7+T7-Investimento!$C$7</f>
        <v>15538.400000000001</v>
      </c>
    </row>
    <row r="8" spans="2:21" x14ac:dyDescent="0.25">
      <c r="B8" s="17">
        <v>5</v>
      </c>
      <c r="C8" s="16">
        <f>100*Receitas!$C$4</f>
        <v>499</v>
      </c>
      <c r="D8" s="16">
        <f>60*Receitas!$C$5</f>
        <v>1199.3999999999999</v>
      </c>
      <c r="E8" s="16">
        <f>12*Receitas!$C$6</f>
        <v>599.88</v>
      </c>
      <c r="F8" s="16">
        <f>9*Receitas!$C$7</f>
        <v>2249.91</v>
      </c>
      <c r="G8" s="16">
        <f>C8+D8+E8+F8-Investimento!$C$7</f>
        <v>4193.1899999999996</v>
      </c>
      <c r="I8" s="17">
        <v>5</v>
      </c>
      <c r="J8" s="16">
        <f>320*Receitas!$C$4</f>
        <v>1596.8000000000002</v>
      </c>
      <c r="K8" s="16">
        <f>150*Receitas!$C$5</f>
        <v>2998.4999999999995</v>
      </c>
      <c r="L8" s="16">
        <f>30*Receitas!$C$6</f>
        <v>1499.7</v>
      </c>
      <c r="M8" s="16">
        <f>25*Receitas!$C$7</f>
        <v>6249.75</v>
      </c>
      <c r="N8" s="16">
        <f>J8+K8+L8+M8-Investimento!$C$7</f>
        <v>11989.75</v>
      </c>
      <c r="P8" s="17">
        <v>5</v>
      </c>
      <c r="Q8" s="16">
        <f>400*Receitas!$C$4</f>
        <v>1996</v>
      </c>
      <c r="R8" s="16">
        <f>220*Receitas!$C$5</f>
        <v>4397.7999999999993</v>
      </c>
      <c r="S8" s="16">
        <f>50*Receitas!$C$6</f>
        <v>2499.5</v>
      </c>
      <c r="T8" s="16">
        <f>30*Receitas!$C$7</f>
        <v>7499.7000000000007</v>
      </c>
      <c r="U8" s="16">
        <f>Q8+R8+S8+T8-Investimento!$C$7</f>
        <v>16038</v>
      </c>
    </row>
    <row r="9" spans="2:21" x14ac:dyDescent="0.25">
      <c r="B9" s="17">
        <v>6</v>
      </c>
      <c r="C9" s="16">
        <f>115*Receitas!$C$4</f>
        <v>573.85</v>
      </c>
      <c r="D9" s="16">
        <f>70*Receitas!$C$5</f>
        <v>1399.3</v>
      </c>
      <c r="E9" s="16">
        <f>15*Receitas!$C$6</f>
        <v>749.85</v>
      </c>
      <c r="F9" s="16">
        <f>10*Receitas!$C$7</f>
        <v>2499.9</v>
      </c>
      <c r="G9" s="16">
        <f>C9+D9+E9+F9-Investimento!$C$7</f>
        <v>4867.8999999999996</v>
      </c>
      <c r="I9" s="17">
        <v>6</v>
      </c>
      <c r="J9" s="16">
        <f>320*Receitas!$C$4</f>
        <v>1596.8000000000002</v>
      </c>
      <c r="K9" s="16">
        <f>160*Receitas!$C$5</f>
        <v>3198.3999999999996</v>
      </c>
      <c r="L9" s="16">
        <f>35*Receitas!$C$6</f>
        <v>1749.65</v>
      </c>
      <c r="M9" s="16">
        <f>25*Receitas!$C$7</f>
        <v>6249.75</v>
      </c>
      <c r="N9" s="16">
        <f>J9+K9+L9+M9-Investimento!$C$7</f>
        <v>12439.6</v>
      </c>
      <c r="P9" s="17">
        <v>6</v>
      </c>
      <c r="Q9" s="16">
        <f>400*Receitas!$C$4</f>
        <v>1996</v>
      </c>
      <c r="R9" s="16">
        <f>220*Receitas!$C$5</f>
        <v>4397.7999999999993</v>
      </c>
      <c r="S9" s="16">
        <f>60*Receitas!$C$6</f>
        <v>2999.4</v>
      </c>
      <c r="T9" s="16">
        <f>30*Receitas!$C$7</f>
        <v>7499.7000000000007</v>
      </c>
      <c r="U9" s="16">
        <f>Q9+R9+S9+T9-Investimento!$C$7</f>
        <v>16537.900000000001</v>
      </c>
    </row>
    <row r="10" spans="2:21" x14ac:dyDescent="0.25">
      <c r="B10" s="17">
        <v>7</v>
      </c>
      <c r="C10" s="16">
        <f>135*Receitas!$C$4</f>
        <v>673.65</v>
      </c>
      <c r="D10" s="16">
        <f>80*Receitas!$C$5</f>
        <v>1599.1999999999998</v>
      </c>
      <c r="E10" s="16">
        <f>15*Receitas!$C$6</f>
        <v>749.85</v>
      </c>
      <c r="F10" s="16">
        <f>10*Receitas!$C$7</f>
        <v>2499.9</v>
      </c>
      <c r="G10" s="16">
        <f>C10+D10+E10+F10-Investimento!$C$7</f>
        <v>5167.6000000000004</v>
      </c>
      <c r="I10" s="17">
        <v>7</v>
      </c>
      <c r="J10" s="16">
        <f>320*Receitas!$C$4</f>
        <v>1596.8000000000002</v>
      </c>
      <c r="K10" s="16">
        <f>160*Receitas!$C$5</f>
        <v>3198.3999999999996</v>
      </c>
      <c r="L10" s="16">
        <f>35*Receitas!$C$6</f>
        <v>1749.65</v>
      </c>
      <c r="M10" s="16">
        <f>25*Receitas!$C$7</f>
        <v>6249.75</v>
      </c>
      <c r="N10" s="16">
        <f>J10+K10+L10+M10-Investimento!$C$7</f>
        <v>12439.6</v>
      </c>
      <c r="P10" s="17">
        <v>7</v>
      </c>
      <c r="Q10" s="16">
        <f>400*Receitas!$C$4</f>
        <v>1996</v>
      </c>
      <c r="R10" s="16">
        <f>220*Receitas!$C$5</f>
        <v>4397.7999999999993</v>
      </c>
      <c r="S10" s="16">
        <f>60*Receitas!$C$6</f>
        <v>2999.4</v>
      </c>
      <c r="T10" s="16">
        <f>35*Receitas!$C$7</f>
        <v>8749.65</v>
      </c>
      <c r="U10" s="16">
        <f>Q10+R10+S10+T10-Investimento!$C$7</f>
        <v>17787.849999999999</v>
      </c>
    </row>
    <row r="11" spans="2:21" x14ac:dyDescent="0.25">
      <c r="B11" s="17">
        <v>8</v>
      </c>
      <c r="C11" s="16">
        <f>150*Receitas!$C$4</f>
        <v>748.5</v>
      </c>
      <c r="D11" s="16">
        <f>80*Receitas!$C$5</f>
        <v>1599.1999999999998</v>
      </c>
      <c r="E11" s="16">
        <f>20*Receitas!$C$6</f>
        <v>999.80000000000007</v>
      </c>
      <c r="F11" s="16">
        <f>12*Receitas!$C$7</f>
        <v>2999.88</v>
      </c>
      <c r="G11" s="16">
        <f>C11+D11+E11+F11-Investimento!$C$7</f>
        <v>5992.38</v>
      </c>
      <c r="I11" s="17">
        <v>8</v>
      </c>
      <c r="J11" s="16">
        <f>340*Receitas!$C$4</f>
        <v>1696.6000000000001</v>
      </c>
      <c r="K11" s="16">
        <f>160*Receitas!$C$5</f>
        <v>3198.3999999999996</v>
      </c>
      <c r="L11" s="16">
        <f>35*Receitas!$C$6</f>
        <v>1749.65</v>
      </c>
      <c r="M11" s="16">
        <f>25*Receitas!$C$7</f>
        <v>6249.75</v>
      </c>
      <c r="N11" s="16">
        <f>J11+K11+L11+M11-Investimento!$C$7</f>
        <v>12539.4</v>
      </c>
      <c r="P11" s="17">
        <v>8</v>
      </c>
      <c r="Q11" s="16">
        <f>400*Receitas!$C$4</f>
        <v>1996</v>
      </c>
      <c r="R11" s="16">
        <f>220*Receitas!$C$5</f>
        <v>4397.7999999999993</v>
      </c>
      <c r="S11" s="16">
        <f>60*Receitas!$C$6</f>
        <v>2999.4</v>
      </c>
      <c r="T11" s="16">
        <f>35*Receitas!$C$7</f>
        <v>8749.65</v>
      </c>
      <c r="U11" s="16">
        <f>Q11+R11+S11+T11-Investimento!$C$7</f>
        <v>17787.849999999999</v>
      </c>
    </row>
    <row r="12" spans="2:21" x14ac:dyDescent="0.25">
      <c r="B12" s="17">
        <v>9</v>
      </c>
      <c r="C12" s="16">
        <f>180*Receitas!$C$4</f>
        <v>898.2</v>
      </c>
      <c r="D12" s="16">
        <f>80*Receitas!$C$5</f>
        <v>1599.1999999999998</v>
      </c>
      <c r="E12" s="16">
        <f>20*Receitas!$C$6</f>
        <v>999.80000000000007</v>
      </c>
      <c r="F12" s="16">
        <f>12*Receitas!$C$7</f>
        <v>2999.88</v>
      </c>
      <c r="G12" s="16">
        <f>C12+D12+E12+F12-Investimento!$C$7</f>
        <v>6142.08</v>
      </c>
      <c r="I12" s="17">
        <v>9</v>
      </c>
      <c r="J12" s="16">
        <f>340*Receitas!$C$4</f>
        <v>1696.6000000000001</v>
      </c>
      <c r="K12" s="16">
        <f>160*Receitas!$C$5</f>
        <v>3198.3999999999996</v>
      </c>
      <c r="L12" s="16">
        <f>35*Receitas!$C$6</f>
        <v>1749.65</v>
      </c>
      <c r="M12" s="16">
        <f>25*Receitas!$C$7</f>
        <v>6249.75</v>
      </c>
      <c r="N12" s="16">
        <f>J12+K12+L12+M12-Investimento!$C$7</f>
        <v>12539.4</v>
      </c>
      <c r="P12" s="17">
        <v>9</v>
      </c>
      <c r="Q12" s="16">
        <f>400*Receitas!$C$4</f>
        <v>1996</v>
      </c>
      <c r="R12" s="16">
        <f>220*Receitas!$C$5</f>
        <v>4397.7999999999993</v>
      </c>
      <c r="S12" s="16">
        <f>60*Receitas!$C$6</f>
        <v>2999.4</v>
      </c>
      <c r="T12" s="16">
        <f>35*Receitas!$C$7</f>
        <v>8749.65</v>
      </c>
      <c r="U12" s="16">
        <f>Q12+R12+S12+T12-Investimento!$C$7</f>
        <v>17787.849999999999</v>
      </c>
    </row>
    <row r="13" spans="2:21" x14ac:dyDescent="0.25">
      <c r="B13" s="17">
        <v>10</v>
      </c>
      <c r="C13" s="16">
        <f>200*Receitas!$C$4</f>
        <v>998</v>
      </c>
      <c r="D13" s="16">
        <f>100*Receitas!$C$5</f>
        <v>1998.9999999999998</v>
      </c>
      <c r="E13" s="16">
        <f>20*Receitas!$C$6</f>
        <v>999.80000000000007</v>
      </c>
      <c r="F13" s="16">
        <f>15*Receitas!$C$7</f>
        <v>3749.8500000000004</v>
      </c>
      <c r="G13" s="16">
        <f>C13+D13+E13+F13-Investimento!$C$7</f>
        <v>7391.6500000000005</v>
      </c>
      <c r="I13" s="17">
        <v>10</v>
      </c>
      <c r="J13" s="16">
        <f>350*Receitas!$C$4</f>
        <v>1746.5</v>
      </c>
      <c r="K13" s="16">
        <f>180*Receitas!$C$5</f>
        <v>3598.2</v>
      </c>
      <c r="L13" s="16">
        <f>40*Receitas!$C$6</f>
        <v>1999.6000000000001</v>
      </c>
      <c r="M13" s="16">
        <f>30*Receitas!$C$7</f>
        <v>7499.7000000000007</v>
      </c>
      <c r="N13" s="16">
        <f>J13+K13+L13+M13-Investimento!$C$7</f>
        <v>14489</v>
      </c>
      <c r="P13" s="17">
        <v>10</v>
      </c>
      <c r="Q13" s="16">
        <f>420*Receitas!$C$4</f>
        <v>2095.8000000000002</v>
      </c>
      <c r="R13" s="16">
        <f>250*Receitas!$C$5</f>
        <v>4997.5</v>
      </c>
      <c r="S13" s="16">
        <f>70*Receitas!$C$6</f>
        <v>3499.3</v>
      </c>
      <c r="T13" s="16">
        <f>35*Receitas!$C$7</f>
        <v>8749.65</v>
      </c>
      <c r="U13" s="16">
        <f>Q13+R13+S13+T13-Investimento!$C$7</f>
        <v>18987.25</v>
      </c>
    </row>
    <row r="14" spans="2:21" x14ac:dyDescent="0.25">
      <c r="B14" s="17">
        <v>11</v>
      </c>
      <c r="C14" s="16">
        <f>210*Receitas!$C$4</f>
        <v>1047.9000000000001</v>
      </c>
      <c r="D14" s="16">
        <f>100*Receitas!$C$5</f>
        <v>1998.9999999999998</v>
      </c>
      <c r="E14" s="16">
        <f>20*Receitas!$C$6</f>
        <v>999.80000000000007</v>
      </c>
      <c r="F14" s="16">
        <f>15*Receitas!$C$7</f>
        <v>3749.8500000000004</v>
      </c>
      <c r="G14" s="16">
        <f>C14+D14+E14+F14-Investimento!$C$7</f>
        <v>7441.55</v>
      </c>
      <c r="I14" s="17">
        <v>11</v>
      </c>
      <c r="J14" s="16">
        <f>350*Receitas!$C$4</f>
        <v>1746.5</v>
      </c>
      <c r="K14" s="16">
        <f>180*Receitas!$C$5</f>
        <v>3598.2</v>
      </c>
      <c r="L14" s="16">
        <f>40*Receitas!$C$6</f>
        <v>1999.6000000000001</v>
      </c>
      <c r="M14" s="16">
        <f>30*Receitas!$C$7</f>
        <v>7499.7000000000007</v>
      </c>
      <c r="N14" s="16">
        <f>J14+K14+L14+M14-Investimento!$C$7</f>
        <v>14489</v>
      </c>
      <c r="P14" s="17">
        <v>11</v>
      </c>
      <c r="Q14" s="16">
        <f>420*Receitas!$C$4</f>
        <v>2095.8000000000002</v>
      </c>
      <c r="R14" s="16">
        <f>250*Receitas!$C$5</f>
        <v>4997.5</v>
      </c>
      <c r="S14" s="16">
        <f>70*Receitas!$C$6</f>
        <v>3499.3</v>
      </c>
      <c r="T14" s="16">
        <f>35*Receitas!$C$7</f>
        <v>8749.65</v>
      </c>
      <c r="U14" s="16">
        <f>Q14+R14+S14+T14-Investimento!$C$7</f>
        <v>18987.25</v>
      </c>
    </row>
    <row r="15" spans="2:21" x14ac:dyDescent="0.25">
      <c r="B15" s="17">
        <v>12</v>
      </c>
      <c r="C15" s="16">
        <f>220*Receitas!$C$4</f>
        <v>1097.8</v>
      </c>
      <c r="D15" s="16">
        <f>100*Receitas!$C$5</f>
        <v>1998.9999999999998</v>
      </c>
      <c r="E15" s="16">
        <f>20*Receitas!$C$6</f>
        <v>999.80000000000007</v>
      </c>
      <c r="F15" s="16">
        <f>15*Receitas!$C$7</f>
        <v>3749.8500000000004</v>
      </c>
      <c r="G15" s="16">
        <f>C15+D15+E15+F15-Investimento!$C$7</f>
        <v>7491.45</v>
      </c>
      <c r="I15" s="17">
        <v>12</v>
      </c>
      <c r="J15" s="16">
        <f>350*Receitas!$C$4</f>
        <v>1746.5</v>
      </c>
      <c r="K15" s="16">
        <f>180*Receitas!$C$5</f>
        <v>3598.2</v>
      </c>
      <c r="L15" s="16">
        <f>40*Receitas!$C$6</f>
        <v>1999.6000000000001</v>
      </c>
      <c r="M15" s="16">
        <f>30*Receitas!$C$7</f>
        <v>7499.7000000000007</v>
      </c>
      <c r="N15" s="16">
        <f>J15+K15+L15+M15-Investimento!$C$7</f>
        <v>14489</v>
      </c>
      <c r="P15" s="17">
        <v>12</v>
      </c>
      <c r="Q15" s="16">
        <f>420*Receitas!$C$4</f>
        <v>2095.8000000000002</v>
      </c>
      <c r="R15" s="16">
        <f>250*Receitas!$C$5</f>
        <v>4997.5</v>
      </c>
      <c r="S15" s="16">
        <f>70*Receitas!$C$6</f>
        <v>3499.3</v>
      </c>
      <c r="T15" s="16">
        <f>35*Receitas!$C$7</f>
        <v>8749.65</v>
      </c>
      <c r="U15" s="16">
        <f>Q15+R15+S15+T15-Investimento!$C$7</f>
        <v>18987.25</v>
      </c>
    </row>
    <row r="16" spans="2:21" x14ac:dyDescent="0.25">
      <c r="B16" s="17"/>
      <c r="C16" s="16"/>
      <c r="D16" s="16"/>
      <c r="E16" s="16"/>
      <c r="F16" s="16" t="s">
        <v>42</v>
      </c>
      <c r="G16" s="16">
        <f>NPV(Investimento!F4,G4:G15)</f>
        <v>49095.369483081449</v>
      </c>
      <c r="I16" s="17"/>
      <c r="J16" s="16"/>
      <c r="K16" s="16"/>
      <c r="L16" s="16"/>
      <c r="M16" s="16" t="s">
        <v>42</v>
      </c>
      <c r="N16" s="16">
        <f>NPV(Investimento!F4,N4:N15)</f>
        <v>132867.60217281338</v>
      </c>
      <c r="P16" s="17"/>
      <c r="Q16" s="16"/>
      <c r="R16" s="16"/>
      <c r="S16" s="16"/>
      <c r="T16" s="16" t="s">
        <v>42</v>
      </c>
      <c r="U16" s="16">
        <f>NPV(Investimento!F4,U4:U15)</f>
        <v>185265.62833824076</v>
      </c>
    </row>
    <row r="17" spans="2:21" x14ac:dyDescent="0.25">
      <c r="B17" s="11"/>
      <c r="C17" s="11"/>
      <c r="D17" s="11"/>
      <c r="E17" s="11"/>
      <c r="F17" s="11"/>
      <c r="G17" s="16">
        <f>FV(Investimento!F4,B15,,-G16)</f>
        <v>58914.443379698198</v>
      </c>
      <c r="I17" s="11"/>
      <c r="J17" s="11"/>
      <c r="K17" s="11"/>
      <c r="L17" s="11"/>
      <c r="M17" s="11"/>
      <c r="N17" s="16">
        <f>FV(Investimento!F4,I15,,-N16)</f>
        <v>159441.1226073773</v>
      </c>
      <c r="P17" s="11"/>
      <c r="Q17" s="11"/>
      <c r="R17" s="11"/>
      <c r="S17" s="11"/>
      <c r="T17" s="11"/>
      <c r="U17" s="16">
        <f>FV(Investimento!F4,P15,,-U16)</f>
        <v>222318.75400589063</v>
      </c>
    </row>
    <row r="18" spans="2:21" x14ac:dyDescent="0.25">
      <c r="B18" s="5"/>
      <c r="C18" s="5"/>
      <c r="D18" s="5"/>
      <c r="E18" s="5"/>
      <c r="F18" s="5"/>
      <c r="G18" s="5"/>
    </row>
    <row r="19" spans="2:21" x14ac:dyDescent="0.25">
      <c r="B19" s="48" t="s">
        <v>37</v>
      </c>
      <c r="C19" s="48"/>
      <c r="D19" s="48"/>
      <c r="E19" s="48"/>
      <c r="F19" s="48"/>
      <c r="G19" s="48"/>
      <c r="I19" s="48" t="s">
        <v>38</v>
      </c>
      <c r="J19" s="48"/>
      <c r="K19" s="48"/>
      <c r="L19" s="48"/>
      <c r="M19" s="48"/>
      <c r="N19" s="48"/>
      <c r="O19" s="2"/>
      <c r="P19" s="48" t="s">
        <v>21</v>
      </c>
      <c r="Q19" s="48"/>
      <c r="S19" s="10" t="s">
        <v>40</v>
      </c>
      <c r="T19" s="10" t="s">
        <v>41</v>
      </c>
    </row>
    <row r="20" spans="2:21" x14ac:dyDescent="0.25">
      <c r="B20" s="9" t="s">
        <v>33</v>
      </c>
      <c r="C20" s="9" t="s">
        <v>28</v>
      </c>
      <c r="D20" s="9" t="s">
        <v>29</v>
      </c>
      <c r="E20" s="9" t="s">
        <v>34</v>
      </c>
      <c r="F20" s="9" t="s">
        <v>31</v>
      </c>
      <c r="G20" s="9" t="s">
        <v>6</v>
      </c>
      <c r="I20" s="9" t="s">
        <v>33</v>
      </c>
      <c r="J20" s="9" t="s">
        <v>28</v>
      </c>
      <c r="K20" s="9" t="s">
        <v>29</v>
      </c>
      <c r="L20" s="9" t="s">
        <v>34</v>
      </c>
      <c r="M20" s="9" t="s">
        <v>31</v>
      </c>
      <c r="N20" s="9" t="s">
        <v>6</v>
      </c>
      <c r="P20" s="9" t="s">
        <v>20</v>
      </c>
      <c r="Q20" s="9" t="s">
        <v>2</v>
      </c>
      <c r="S20" s="9" t="s">
        <v>20</v>
      </c>
      <c r="T20" s="9" t="s">
        <v>2</v>
      </c>
    </row>
    <row r="21" spans="2:21" x14ac:dyDescent="0.25">
      <c r="B21" s="11">
        <v>1</v>
      </c>
      <c r="C21" s="16">
        <f>380*Receitas!$C$4</f>
        <v>1896.2</v>
      </c>
      <c r="D21" s="16">
        <f>200*Receitas!$C$5</f>
        <v>3997.9999999999995</v>
      </c>
      <c r="E21" s="16">
        <f>80*Receitas!$C$6</f>
        <v>3999.2000000000003</v>
      </c>
      <c r="F21" s="16">
        <f>50*Receitas!$C$7</f>
        <v>12499.5</v>
      </c>
      <c r="G21" s="16">
        <f>C21+D21+E21+F21-Investimento!$C$7</f>
        <v>22037.9</v>
      </c>
      <c r="I21" s="11">
        <v>1</v>
      </c>
      <c r="J21" s="16">
        <f>450*Receitas!$C$4</f>
        <v>2245.5</v>
      </c>
      <c r="K21" s="16">
        <f>250*Receitas!$C$5</f>
        <v>4997.5</v>
      </c>
      <c r="L21" s="16">
        <f>150*Receitas!$C$6</f>
        <v>7498.5</v>
      </c>
      <c r="M21" s="16">
        <f>80*Receitas!$C$7</f>
        <v>19999.2</v>
      </c>
      <c r="N21" s="16">
        <f>J21+K21+L21+M21-Investimento!$C$7</f>
        <v>34385.699999999997</v>
      </c>
      <c r="O21" s="3"/>
      <c r="P21" s="11">
        <v>0</v>
      </c>
      <c r="Q21" s="16">
        <f>-Investimento!C24</f>
        <v>-86735</v>
      </c>
      <c r="S21" s="24">
        <v>0</v>
      </c>
      <c r="T21" s="11">
        <v>0</v>
      </c>
    </row>
    <row r="22" spans="2:21" x14ac:dyDescent="0.25">
      <c r="B22" s="11">
        <v>2</v>
      </c>
      <c r="C22" s="16">
        <f>380*Receitas!$C$4</f>
        <v>1896.2</v>
      </c>
      <c r="D22" s="16">
        <f>200*Receitas!$C$5</f>
        <v>3997.9999999999995</v>
      </c>
      <c r="E22" s="16">
        <f>80*Receitas!$C$6</f>
        <v>3999.2000000000003</v>
      </c>
      <c r="F22" s="16">
        <f>50*Receitas!$C$7</f>
        <v>12499.5</v>
      </c>
      <c r="G22" s="16">
        <f>C22+D22+E22+F22-Investimento!$C$7</f>
        <v>22037.9</v>
      </c>
      <c r="I22" s="11">
        <v>2</v>
      </c>
      <c r="J22" s="16">
        <f>450*Receitas!$C$4</f>
        <v>2245.5</v>
      </c>
      <c r="K22" s="16">
        <f>250*Receitas!$C$5</f>
        <v>4997.5</v>
      </c>
      <c r="L22" s="16">
        <f>150*Receitas!$C$6</f>
        <v>7498.5</v>
      </c>
      <c r="M22" s="16">
        <f>80*Receitas!$C$7</f>
        <v>19999.2</v>
      </c>
      <c r="N22" s="16">
        <f>J22+K22+L22+M22-Investimento!$C$7</f>
        <v>34385.699999999997</v>
      </c>
      <c r="O22" s="3"/>
      <c r="P22" s="11">
        <v>1</v>
      </c>
      <c r="Q22" s="19">
        <f>G17</f>
        <v>58914.443379698198</v>
      </c>
      <c r="S22" s="19">
        <f>PV(Investimento!$F$3,P22,,-Q22)</f>
        <v>49095.369483081835</v>
      </c>
      <c r="T22" s="8">
        <f>S22+T21</f>
        <v>49095.369483081835</v>
      </c>
    </row>
    <row r="23" spans="2:21" x14ac:dyDescent="0.25">
      <c r="B23" s="11">
        <v>3</v>
      </c>
      <c r="C23" s="16">
        <f>380*Receitas!$C$4</f>
        <v>1896.2</v>
      </c>
      <c r="D23" s="16">
        <f>200*Receitas!$C$5</f>
        <v>3997.9999999999995</v>
      </c>
      <c r="E23" s="16">
        <f>80*Receitas!$C$6</f>
        <v>3999.2000000000003</v>
      </c>
      <c r="F23" s="16">
        <f>50*Receitas!$C$7</f>
        <v>12499.5</v>
      </c>
      <c r="G23" s="16">
        <f>C23+D23+E23+F23-Investimento!$C$7</f>
        <v>22037.9</v>
      </c>
      <c r="I23" s="11">
        <v>3</v>
      </c>
      <c r="J23" s="16">
        <f>450*Receitas!$C$4</f>
        <v>2245.5</v>
      </c>
      <c r="K23" s="16">
        <f>250*Receitas!$C$5</f>
        <v>4997.5</v>
      </c>
      <c r="L23" s="16">
        <f>150*Receitas!$C$6</f>
        <v>7498.5</v>
      </c>
      <c r="M23" s="16">
        <f>80*Receitas!$C$7</f>
        <v>19999.2</v>
      </c>
      <c r="N23" s="16">
        <f>J23+K23+L23+M23-Investimento!$C$7</f>
        <v>34385.699999999997</v>
      </c>
      <c r="O23" s="3"/>
      <c r="P23" s="11">
        <v>2</v>
      </c>
      <c r="Q23" s="19">
        <f>N17</f>
        <v>159441.1226073773</v>
      </c>
      <c r="S23" s="19">
        <f>PV(Investimento!$F$3,P23,,-Q23)</f>
        <v>110723.00181067869</v>
      </c>
      <c r="T23" s="8">
        <f t="shared" ref="T23:T26" si="0">S23+T22</f>
        <v>159818.37129376052</v>
      </c>
    </row>
    <row r="24" spans="2:21" x14ac:dyDescent="0.25">
      <c r="B24" s="11">
        <v>4</v>
      </c>
      <c r="C24" s="16">
        <f>400*Receitas!$C$4</f>
        <v>1996</v>
      </c>
      <c r="D24" s="16">
        <f>200*Receitas!$C$5</f>
        <v>3997.9999999999995</v>
      </c>
      <c r="E24" s="16">
        <f>80*Receitas!$C$6</f>
        <v>3999.2000000000003</v>
      </c>
      <c r="F24" s="16">
        <f>50*Receitas!$C$7</f>
        <v>12499.5</v>
      </c>
      <c r="G24" s="16">
        <f>C24+D24+E24+F24-Investimento!$C$7</f>
        <v>22137.7</v>
      </c>
      <c r="I24" s="11">
        <v>4</v>
      </c>
      <c r="J24" s="16">
        <f>450*Receitas!$C$4</f>
        <v>2245.5</v>
      </c>
      <c r="K24" s="16">
        <f>250*Receitas!$C$5</f>
        <v>4997.5</v>
      </c>
      <c r="L24" s="16">
        <f>150*Receitas!$C$6</f>
        <v>7498.5</v>
      </c>
      <c r="M24" s="16">
        <f>80*Receitas!$C$7</f>
        <v>19999.2</v>
      </c>
      <c r="N24" s="16">
        <f>J24+K24+L24+M24-Investimento!$C$7</f>
        <v>34385.699999999997</v>
      </c>
      <c r="O24" s="3"/>
      <c r="P24" s="11">
        <v>3</v>
      </c>
      <c r="Q24" s="19">
        <f>U17</f>
        <v>222318.75400589063</v>
      </c>
      <c r="S24" s="19">
        <f>PV(Investimento!$F$3,P24,,-Q24)</f>
        <v>128656.68634600153</v>
      </c>
      <c r="T24" s="19">
        <f t="shared" si="0"/>
        <v>288475.05763976206</v>
      </c>
    </row>
    <row r="25" spans="2:21" x14ac:dyDescent="0.25">
      <c r="B25" s="17">
        <v>5</v>
      </c>
      <c r="C25" s="16">
        <f>400*Receitas!$C$4</f>
        <v>1996</v>
      </c>
      <c r="D25" s="16">
        <f>200*Receitas!$C$5</f>
        <v>3997.9999999999995</v>
      </c>
      <c r="E25" s="16">
        <f>80*Receitas!$C$6</f>
        <v>3999.2000000000003</v>
      </c>
      <c r="F25" s="16">
        <f>50*Receitas!$C$7</f>
        <v>12499.5</v>
      </c>
      <c r="G25" s="16">
        <f>C25+D25+E25+F25-Investimento!$C$7</f>
        <v>22137.7</v>
      </c>
      <c r="I25" s="17">
        <v>5</v>
      </c>
      <c r="J25" s="16">
        <f>450*Receitas!$C$4</f>
        <v>2245.5</v>
      </c>
      <c r="K25" s="16">
        <f>250*Receitas!$C$5</f>
        <v>4997.5</v>
      </c>
      <c r="L25" s="16">
        <f>150*Receitas!$C$6</f>
        <v>7498.5</v>
      </c>
      <c r="M25" s="16">
        <f>80*Receitas!$C$7</f>
        <v>19999.2</v>
      </c>
      <c r="N25" s="16">
        <f>J25+K25+L25+M25-Investimento!$C$7</f>
        <v>34385.699999999997</v>
      </c>
      <c r="O25" s="3"/>
      <c r="P25" s="11">
        <v>4</v>
      </c>
      <c r="Q25" s="19">
        <f>G34</f>
        <v>308489.81693883269</v>
      </c>
      <c r="S25" s="19">
        <f>PV(Investimento!$F$3,P25,,-Q25)</f>
        <v>148770.1663478167</v>
      </c>
      <c r="T25" s="19">
        <f t="shared" si="0"/>
        <v>437245.22398757876</v>
      </c>
    </row>
    <row r="26" spans="2:21" x14ac:dyDescent="0.25">
      <c r="B26" s="17">
        <v>6</v>
      </c>
      <c r="C26" s="16">
        <f>400*Receitas!$C$4</f>
        <v>1996</v>
      </c>
      <c r="D26" s="16">
        <f>200*Receitas!$C$5</f>
        <v>3997.9999999999995</v>
      </c>
      <c r="E26" s="16">
        <f>80*Receitas!$C$6</f>
        <v>3999.2000000000003</v>
      </c>
      <c r="F26" s="16">
        <f>50*Receitas!$C$7</f>
        <v>12499.5</v>
      </c>
      <c r="G26" s="16">
        <f>C26+D26+E26+F26-Investimento!$C$7</f>
        <v>22137.7</v>
      </c>
      <c r="I26" s="17">
        <v>6</v>
      </c>
      <c r="J26" s="16">
        <f>500*Receitas!$C$4</f>
        <v>2495</v>
      </c>
      <c r="K26" s="16">
        <f>250*Receitas!$C$5</f>
        <v>4997.5</v>
      </c>
      <c r="L26" s="16">
        <f>150*Receitas!$C$6</f>
        <v>7498.5</v>
      </c>
      <c r="M26" s="16">
        <f>80*Receitas!$C$7</f>
        <v>19999.2</v>
      </c>
      <c r="N26" s="16">
        <f>J26+K26+L26+M26-Investimento!$C$7</f>
        <v>34635.199999999997</v>
      </c>
      <c r="O26" s="3"/>
      <c r="P26" s="11">
        <v>5</v>
      </c>
      <c r="Q26" s="19">
        <f>N34</f>
        <v>504021.79393507657</v>
      </c>
      <c r="S26" s="19">
        <f>PV(Investimento!$F$3,P26,,-Q26)</f>
        <v>202555.05479000957</v>
      </c>
      <c r="T26" s="19">
        <f t="shared" si="0"/>
        <v>639800.27877758839</v>
      </c>
    </row>
    <row r="27" spans="2:21" x14ac:dyDescent="0.25">
      <c r="B27" s="17">
        <v>7</v>
      </c>
      <c r="C27" s="16">
        <f>400*Receitas!$C$4</f>
        <v>1996</v>
      </c>
      <c r="D27" s="16">
        <f>200*Receitas!$C$5</f>
        <v>3997.9999999999995</v>
      </c>
      <c r="E27" s="16">
        <f>80*Receitas!$C$6</f>
        <v>3999.2000000000003</v>
      </c>
      <c r="F27" s="16">
        <f>50*Receitas!$C$7</f>
        <v>12499.5</v>
      </c>
      <c r="G27" s="16">
        <f>C27+D27+E27+F27-Investimento!$C$7</f>
        <v>22137.7</v>
      </c>
      <c r="I27" s="17">
        <v>7</v>
      </c>
      <c r="J27" s="16">
        <f>500*Receitas!$C$4</f>
        <v>2495</v>
      </c>
      <c r="K27" s="16">
        <f>300*Receitas!$C$5</f>
        <v>5996.9999999999991</v>
      </c>
      <c r="L27" s="16">
        <f>200*Receitas!$C$6</f>
        <v>9998</v>
      </c>
      <c r="M27" s="16">
        <f>100*Receitas!$C$7</f>
        <v>24999</v>
      </c>
      <c r="N27" s="16">
        <f>J27+K27+L27+M27-Investimento!$C$7</f>
        <v>43134</v>
      </c>
      <c r="O27" s="3"/>
      <c r="P27" s="9" t="s">
        <v>39</v>
      </c>
      <c r="Q27" s="19">
        <f>NPV(Investimento!F3,Q22:Q26)</f>
        <v>639800.27877758828</v>
      </c>
    </row>
    <row r="28" spans="2:21" x14ac:dyDescent="0.25">
      <c r="B28" s="17">
        <v>8</v>
      </c>
      <c r="C28" s="16">
        <f>400*Receitas!$C$4</f>
        <v>1996</v>
      </c>
      <c r="D28" s="16">
        <f>200*Receitas!$C$5</f>
        <v>3997.9999999999995</v>
      </c>
      <c r="E28" s="16">
        <f>80*Receitas!$C$6</f>
        <v>3999.2000000000003</v>
      </c>
      <c r="F28" s="16">
        <f>60*Receitas!$C$7</f>
        <v>14999.400000000001</v>
      </c>
      <c r="G28" s="16">
        <f>C28+D28+E28+F28-Investimento!$C$7</f>
        <v>24637.600000000002</v>
      </c>
      <c r="I28" s="17">
        <v>8</v>
      </c>
      <c r="J28" s="16">
        <f>500*Receitas!$C$4</f>
        <v>2495</v>
      </c>
      <c r="K28" s="16">
        <f>300*Receitas!$C$5</f>
        <v>5996.9999999999991</v>
      </c>
      <c r="L28" s="16">
        <f>200*Receitas!$C$6</f>
        <v>9998</v>
      </c>
      <c r="M28" s="16">
        <f>100*Receitas!$C$7</f>
        <v>24999</v>
      </c>
      <c r="N28" s="16">
        <f>J28+K28+L28+M28-Investimento!$C$7</f>
        <v>43134</v>
      </c>
      <c r="O28" s="3"/>
      <c r="P28" s="9" t="s">
        <v>22</v>
      </c>
      <c r="Q28" s="19">
        <f>Q21+Q27</f>
        <v>553065.27877758828</v>
      </c>
      <c r="S28" s="19">
        <f>-Q21-T22</f>
        <v>37639.630516918165</v>
      </c>
    </row>
    <row r="29" spans="2:21" x14ac:dyDescent="0.25">
      <c r="B29" s="17">
        <v>9</v>
      </c>
      <c r="C29" s="16">
        <f>400*Receitas!$C$4</f>
        <v>1996</v>
      </c>
      <c r="D29" s="16">
        <f>230*Receitas!$C$5</f>
        <v>4597.7</v>
      </c>
      <c r="E29" s="16">
        <f>100*Receitas!$C$6</f>
        <v>4999</v>
      </c>
      <c r="F29" s="16">
        <f>60*Receitas!$C$7</f>
        <v>14999.400000000001</v>
      </c>
      <c r="G29" s="16">
        <f>C29+D29+E29+F29-Investimento!$C$7</f>
        <v>26237.100000000002</v>
      </c>
      <c r="I29" s="17">
        <v>9</v>
      </c>
      <c r="J29" s="16">
        <f>500*Receitas!$C$4</f>
        <v>2495</v>
      </c>
      <c r="K29" s="16">
        <f>300*Receitas!$C$5</f>
        <v>5996.9999999999991</v>
      </c>
      <c r="L29" s="16">
        <f>200*Receitas!$C$6</f>
        <v>9998</v>
      </c>
      <c r="M29" s="16">
        <f>100*Receitas!$C$7</f>
        <v>24999</v>
      </c>
      <c r="N29" s="16">
        <f>J29+K29+L29+M29-Investimento!$C$7</f>
        <v>43134</v>
      </c>
      <c r="O29" s="3"/>
      <c r="P29" s="9" t="s">
        <v>23</v>
      </c>
      <c r="Q29" s="19">
        <f>PMT(Investimento!F3,P26,-Q28)</f>
        <v>184933.80381743825</v>
      </c>
      <c r="S29" s="19">
        <f>T23-T22</f>
        <v>110723.00181067869</v>
      </c>
    </row>
    <row r="30" spans="2:21" x14ac:dyDescent="0.25">
      <c r="B30" s="17">
        <v>10</v>
      </c>
      <c r="C30" s="16">
        <f>400*Receitas!$C$4</f>
        <v>1996</v>
      </c>
      <c r="D30" s="16">
        <f>230*Receitas!$C$5</f>
        <v>4597.7</v>
      </c>
      <c r="E30" s="16">
        <f>100*Receitas!$C$6</f>
        <v>4999</v>
      </c>
      <c r="F30" s="16">
        <f>60*Receitas!$C$7</f>
        <v>14999.400000000001</v>
      </c>
      <c r="G30" s="16">
        <f>C30+D30+E30+F30-Investimento!$C$7</f>
        <v>26237.100000000002</v>
      </c>
      <c r="I30" s="17">
        <v>10</v>
      </c>
      <c r="J30" s="16">
        <f>500*Receitas!$C$4</f>
        <v>2495</v>
      </c>
      <c r="K30" s="16">
        <f>300*Receitas!$C$5</f>
        <v>5996.9999999999991</v>
      </c>
      <c r="L30" s="16">
        <f>200*Receitas!$C$6</f>
        <v>9998</v>
      </c>
      <c r="M30" s="16">
        <f>100*Receitas!$C$7</f>
        <v>24999</v>
      </c>
      <c r="N30" s="16">
        <f>J30+K30+L30+M30-Investimento!$C$7</f>
        <v>43134</v>
      </c>
      <c r="O30" s="3"/>
      <c r="P30" s="9" t="s">
        <v>24</v>
      </c>
      <c r="Q30" s="21">
        <f>Q27/-Q21</f>
        <v>7.3764948265128067</v>
      </c>
      <c r="S30" s="21">
        <f>S28/S29</f>
        <v>0.33994409383225382</v>
      </c>
    </row>
    <row r="31" spans="2:21" x14ac:dyDescent="0.25">
      <c r="B31" s="17">
        <v>11</v>
      </c>
      <c r="C31" s="16">
        <f>420*Receitas!$C$4</f>
        <v>2095.8000000000002</v>
      </c>
      <c r="D31" s="16">
        <f>230*Receitas!$C$5</f>
        <v>4597.7</v>
      </c>
      <c r="E31" s="16">
        <f>100*Receitas!$C$6</f>
        <v>4999</v>
      </c>
      <c r="F31" s="16">
        <f>60*Receitas!$C$7</f>
        <v>14999.400000000001</v>
      </c>
      <c r="G31" s="16">
        <f>C31+D31+E31+F31-Investimento!$C$7</f>
        <v>26336.9</v>
      </c>
      <c r="I31" s="17">
        <v>11</v>
      </c>
      <c r="J31" s="16">
        <f>500*Receitas!$C$4</f>
        <v>2495</v>
      </c>
      <c r="K31" s="16">
        <f>300*Receitas!$C$5</f>
        <v>5996.9999999999991</v>
      </c>
      <c r="L31" s="16">
        <f>200*Receitas!$C$6</f>
        <v>9998</v>
      </c>
      <c r="M31" s="16">
        <f>100*Receitas!$C$7</f>
        <v>24999</v>
      </c>
      <c r="N31" s="16">
        <f>J31+K31+L31+M31-Investimento!$C$7</f>
        <v>43134</v>
      </c>
      <c r="O31" s="3"/>
      <c r="P31" s="9" t="s">
        <v>25</v>
      </c>
      <c r="Q31" s="22">
        <f>RATE(P26,,-1,Q30)</f>
        <v>0.4913171369533863</v>
      </c>
      <c r="R31" t="s">
        <v>43</v>
      </c>
    </row>
    <row r="32" spans="2:21" x14ac:dyDescent="0.25">
      <c r="B32" s="17">
        <v>12</v>
      </c>
      <c r="C32" s="16">
        <f>420*Receitas!$C$4</f>
        <v>2095.8000000000002</v>
      </c>
      <c r="D32" s="16">
        <f>230*Receitas!$C$5</f>
        <v>4597.7</v>
      </c>
      <c r="E32" s="16">
        <f>100*Receitas!$C$6</f>
        <v>4999</v>
      </c>
      <c r="F32" s="16">
        <f>60*Receitas!$C$7</f>
        <v>14999.400000000001</v>
      </c>
      <c r="G32" s="16">
        <f>C32+D32+E32+F32-Investimento!$C$7</f>
        <v>26336.9</v>
      </c>
      <c r="I32" s="17">
        <v>12</v>
      </c>
      <c r="J32" s="16">
        <f>500*Receitas!$C$4</f>
        <v>2495</v>
      </c>
      <c r="K32" s="16">
        <f>300*Receitas!$C$5</f>
        <v>5996.9999999999991</v>
      </c>
      <c r="L32" s="16">
        <f>200*Receitas!$C$6</f>
        <v>9998</v>
      </c>
      <c r="M32" s="16">
        <f>100*Receitas!$C$7</f>
        <v>24999</v>
      </c>
      <c r="N32" s="16">
        <f>J32+K32+L32+M32-Investimento!$C$7</f>
        <v>43134</v>
      </c>
      <c r="O32" s="3"/>
      <c r="P32" s="9" t="s">
        <v>27</v>
      </c>
      <c r="Q32" s="22">
        <f>IRR(Q21:Q26)</f>
        <v>1.3668639867423447</v>
      </c>
      <c r="R32" t="s">
        <v>43</v>
      </c>
    </row>
    <row r="33" spans="2:18" x14ac:dyDescent="0.25">
      <c r="B33" s="17"/>
      <c r="C33" s="16"/>
      <c r="D33" s="16"/>
      <c r="E33" s="16"/>
      <c r="F33" s="16" t="s">
        <v>42</v>
      </c>
      <c r="G33" s="16">
        <f>NPV(Investimento!F4,G21:G32)</f>
        <v>257074.84744902526</v>
      </c>
      <c r="I33" s="17"/>
      <c r="J33" s="16"/>
      <c r="K33" s="16"/>
      <c r="L33" s="16"/>
      <c r="M33" s="16" t="s">
        <v>42</v>
      </c>
      <c r="N33" s="16">
        <f>NPV(Investimento!F4,N21:N32)</f>
        <v>420018.16161256057</v>
      </c>
      <c r="O33" s="3"/>
      <c r="P33" s="9" t="s">
        <v>26</v>
      </c>
      <c r="Q33" s="21">
        <f>P22+S30</f>
        <v>1.3399440938322538</v>
      </c>
      <c r="R33" t="s">
        <v>44</v>
      </c>
    </row>
    <row r="34" spans="2:18" x14ac:dyDescent="0.25">
      <c r="B34" s="11"/>
      <c r="C34" s="11"/>
      <c r="D34" s="11"/>
      <c r="E34" s="11"/>
      <c r="F34" s="11"/>
      <c r="G34" s="16">
        <f>FV(Investimento!F4,B32,,-G33)</f>
        <v>308489.81693883269</v>
      </c>
      <c r="I34" s="11"/>
      <c r="J34" s="11"/>
      <c r="K34" s="11"/>
      <c r="L34" s="11"/>
      <c r="M34" s="11"/>
      <c r="N34" s="16">
        <f>FV(Investimento!F4,I32,,-N33)</f>
        <v>504021.79393507657</v>
      </c>
      <c r="O34" s="3"/>
      <c r="P34" s="51"/>
      <c r="Q34" s="52"/>
    </row>
  </sheetData>
  <mergeCells count="6">
    <mergeCell ref="I2:N2"/>
    <mergeCell ref="P2:U2"/>
    <mergeCell ref="B19:G19"/>
    <mergeCell ref="I19:N19"/>
    <mergeCell ref="P19:Q19"/>
    <mergeCell ref="B2:G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5"/>
  <sheetViews>
    <sheetView tabSelected="1" topLeftCell="H19" workbookViewId="0">
      <selection activeCell="G40" sqref="G40"/>
    </sheetView>
  </sheetViews>
  <sheetFormatPr defaultRowHeight="15" x14ac:dyDescent="0.25"/>
  <cols>
    <col min="2" max="2" width="12.42578125" customWidth="1"/>
    <col min="3" max="3" width="14.5703125" customWidth="1"/>
    <col min="4" max="4" width="16.5703125" customWidth="1"/>
    <col min="5" max="5" width="20.42578125" customWidth="1"/>
    <col min="6" max="6" width="11.7109375" bestFit="1" customWidth="1"/>
    <col min="7" max="7" width="14.140625" customWidth="1"/>
    <col min="8" max="8" width="15.28515625" customWidth="1"/>
    <col min="9" max="9" width="13.7109375" customWidth="1"/>
    <col min="10" max="10" width="10.85546875" customWidth="1"/>
    <col min="12" max="12" width="12" customWidth="1"/>
    <col min="13" max="13" width="11.28515625" customWidth="1"/>
    <col min="14" max="14" width="12.5703125" customWidth="1"/>
    <col min="16" max="16" width="13.28515625" customWidth="1"/>
    <col min="17" max="17" width="14.7109375" customWidth="1"/>
    <col min="19" max="19" width="16.42578125" customWidth="1"/>
    <col min="20" max="20" width="15.85546875" customWidth="1"/>
    <col min="21" max="21" width="11.7109375" customWidth="1"/>
  </cols>
  <sheetData>
    <row r="2" spans="2:21" x14ac:dyDescent="0.25">
      <c r="B2" s="50" t="s">
        <v>32</v>
      </c>
      <c r="C2" s="50"/>
      <c r="D2" s="50"/>
      <c r="E2" s="50"/>
      <c r="F2" s="50"/>
      <c r="G2" s="50"/>
      <c r="I2" s="49" t="s">
        <v>35</v>
      </c>
      <c r="J2" s="49"/>
      <c r="K2" s="49"/>
      <c r="L2" s="49"/>
      <c r="M2" s="49"/>
      <c r="N2" s="49"/>
      <c r="P2" s="49" t="s">
        <v>36</v>
      </c>
      <c r="Q2" s="49"/>
      <c r="R2" s="49"/>
      <c r="S2" s="49"/>
      <c r="T2" s="49"/>
      <c r="U2" s="49"/>
    </row>
    <row r="3" spans="2:21" x14ac:dyDescent="0.25">
      <c r="B3" s="25" t="s">
        <v>33</v>
      </c>
      <c r="C3" s="25" t="s">
        <v>28</v>
      </c>
      <c r="D3" s="25" t="s">
        <v>29</v>
      </c>
      <c r="E3" s="25" t="s">
        <v>34</v>
      </c>
      <c r="F3" s="25" t="s">
        <v>31</v>
      </c>
      <c r="G3" s="25" t="s">
        <v>6</v>
      </c>
      <c r="I3" s="25" t="s">
        <v>33</v>
      </c>
      <c r="J3" s="25" t="s">
        <v>28</v>
      </c>
      <c r="K3" s="25" t="s">
        <v>29</v>
      </c>
      <c r="L3" s="25" t="s">
        <v>34</v>
      </c>
      <c r="M3" s="25" t="s">
        <v>31</v>
      </c>
      <c r="N3" s="25" t="s">
        <v>6</v>
      </c>
      <c r="P3" s="25" t="s">
        <v>33</v>
      </c>
      <c r="Q3" s="25" t="s">
        <v>28</v>
      </c>
      <c r="R3" s="25" t="s">
        <v>29</v>
      </c>
      <c r="S3" s="25" t="s">
        <v>34</v>
      </c>
      <c r="T3" s="25" t="s">
        <v>31</v>
      </c>
      <c r="U3" s="25" t="s">
        <v>6</v>
      </c>
    </row>
    <row r="4" spans="2:21" x14ac:dyDescent="0.25">
      <c r="B4" s="26">
        <v>1</v>
      </c>
      <c r="C4" s="27">
        <f>3*Receitas!$C$4</f>
        <v>14.97</v>
      </c>
      <c r="D4" s="27">
        <f>1*Receitas!$C$5</f>
        <v>19.989999999999998</v>
      </c>
      <c r="E4" s="27">
        <v>0</v>
      </c>
      <c r="F4" s="27">
        <v>0</v>
      </c>
      <c r="G4" s="45">
        <f>C4+D4+E4+F4-Investimento!$C$7</f>
        <v>-320.04000000000002</v>
      </c>
      <c r="I4" s="26">
        <v>1</v>
      </c>
      <c r="J4" s="27">
        <f>40*Receitas!$C$4</f>
        <v>199.60000000000002</v>
      </c>
      <c r="K4" s="27">
        <f>20*Receitas!$C$5</f>
        <v>399.79999999999995</v>
      </c>
      <c r="L4" s="27">
        <f>10*Receitas!$C$6</f>
        <v>499.90000000000003</v>
      </c>
      <c r="M4" s="27">
        <f>5*Receitas!$C$7</f>
        <v>1249.95</v>
      </c>
      <c r="N4" s="27">
        <f>J4+K4+L4+M4-Investimento!$C$7</f>
        <v>1994.25</v>
      </c>
      <c r="P4" s="26">
        <v>1</v>
      </c>
      <c r="Q4" s="27">
        <f>60*Receitas!$C$4</f>
        <v>299.40000000000003</v>
      </c>
      <c r="R4" s="27">
        <f>30*Receitas!$C$5</f>
        <v>599.69999999999993</v>
      </c>
      <c r="S4" s="27">
        <f>20*Receitas!$C$6</f>
        <v>999.80000000000007</v>
      </c>
      <c r="T4" s="27">
        <f>6*Receitas!$C$7</f>
        <v>1499.94</v>
      </c>
      <c r="U4" s="27">
        <f>Q4+R4+S4+T4-Investimento!$C$7</f>
        <v>3043.84</v>
      </c>
    </row>
    <row r="5" spans="2:21" x14ac:dyDescent="0.25">
      <c r="B5" s="26">
        <v>2</v>
      </c>
      <c r="C5" s="27">
        <f>3*Receitas!$C$4</f>
        <v>14.97</v>
      </c>
      <c r="D5" s="27">
        <f>1*Receitas!$C$5</f>
        <v>19.989999999999998</v>
      </c>
      <c r="E5" s="27">
        <f>1*Receitas!$C$6</f>
        <v>49.99</v>
      </c>
      <c r="F5" s="27">
        <v>0</v>
      </c>
      <c r="G5" s="45">
        <f>C5+D5+E5+F5-Investimento!$C$7</f>
        <v>-270.05</v>
      </c>
      <c r="I5" s="26">
        <v>2</v>
      </c>
      <c r="J5" s="27">
        <f>40*Receitas!$C$4</f>
        <v>199.60000000000002</v>
      </c>
      <c r="K5" s="27">
        <f>20*Receitas!$C$5</f>
        <v>399.79999999999995</v>
      </c>
      <c r="L5" s="27">
        <f>10*Receitas!$C$6</f>
        <v>499.90000000000003</v>
      </c>
      <c r="M5" s="27">
        <f>5*Receitas!$C$7</f>
        <v>1249.95</v>
      </c>
      <c r="N5" s="27">
        <f>J5+K5+L5+M5-Investimento!$C$7</f>
        <v>1994.25</v>
      </c>
      <c r="P5" s="26">
        <v>2</v>
      </c>
      <c r="Q5" s="27">
        <f>60*Receitas!$C$4</f>
        <v>299.40000000000003</v>
      </c>
      <c r="R5" s="27">
        <f>30*Receitas!$C$5</f>
        <v>599.69999999999993</v>
      </c>
      <c r="S5" s="27">
        <f>20*Receitas!$C$6</f>
        <v>999.80000000000007</v>
      </c>
      <c r="T5" s="27">
        <f>6*Receitas!$C$7</f>
        <v>1499.94</v>
      </c>
      <c r="U5" s="27">
        <f>Q5+R5+S5+T5-Investimento!$C$7</f>
        <v>3043.84</v>
      </c>
    </row>
    <row r="6" spans="2:21" x14ac:dyDescent="0.25">
      <c r="B6" s="26">
        <v>3</v>
      </c>
      <c r="C6" s="27">
        <f>3*Receitas!$C$4</f>
        <v>14.97</v>
      </c>
      <c r="D6" s="27">
        <f>2*Receitas!$C$5</f>
        <v>39.979999999999997</v>
      </c>
      <c r="E6" s="27">
        <f>1*Receitas!$C$6</f>
        <v>49.99</v>
      </c>
      <c r="F6" s="27">
        <v>0</v>
      </c>
      <c r="G6" s="45">
        <f>C6+D6+E6+F6-Investimento!$C$7</f>
        <v>-250.06</v>
      </c>
      <c r="I6" s="26">
        <v>3</v>
      </c>
      <c r="J6" s="27">
        <f>40*Receitas!$C$4</f>
        <v>199.60000000000002</v>
      </c>
      <c r="K6" s="27">
        <f>20*Receitas!$C$5</f>
        <v>399.79999999999995</v>
      </c>
      <c r="L6" s="27">
        <f>10*Receitas!$C$6</f>
        <v>499.90000000000003</v>
      </c>
      <c r="M6" s="27">
        <f>5*Receitas!$C$7</f>
        <v>1249.95</v>
      </c>
      <c r="N6" s="27">
        <f>J6+K6+L6+M6-Investimento!$C$7</f>
        <v>1994.25</v>
      </c>
      <c r="P6" s="26">
        <v>3</v>
      </c>
      <c r="Q6" s="27">
        <f>60*Receitas!$C$4</f>
        <v>299.40000000000003</v>
      </c>
      <c r="R6" s="27">
        <f>30*Receitas!$C$5</f>
        <v>599.69999999999993</v>
      </c>
      <c r="S6" s="27">
        <f>20*Receitas!$C$6</f>
        <v>999.80000000000007</v>
      </c>
      <c r="T6" s="27">
        <f>6*Receitas!$C$7</f>
        <v>1499.94</v>
      </c>
      <c r="U6" s="27">
        <f>Q6+R6+S6+T6-Investimento!$C$7</f>
        <v>3043.84</v>
      </c>
    </row>
    <row r="7" spans="2:21" x14ac:dyDescent="0.25">
      <c r="B7" s="26">
        <v>4</v>
      </c>
      <c r="C7" s="27">
        <f>5*Receitas!$C$4</f>
        <v>24.950000000000003</v>
      </c>
      <c r="D7" s="27">
        <f>3*Receitas!$C$5</f>
        <v>59.97</v>
      </c>
      <c r="E7" s="27">
        <f>2*Receitas!$C$6</f>
        <v>99.98</v>
      </c>
      <c r="F7" s="27">
        <v>0</v>
      </c>
      <c r="G7" s="45">
        <f>C7+D7+E7+F7-Investimento!$C$7</f>
        <v>-170.1</v>
      </c>
      <c r="I7" s="26">
        <v>4</v>
      </c>
      <c r="J7" s="27">
        <f>40*Receitas!$C$4</f>
        <v>199.60000000000002</v>
      </c>
      <c r="K7" s="27">
        <f>25*Receitas!$C$5</f>
        <v>499.74999999999994</v>
      </c>
      <c r="L7" s="27">
        <f>10*Receitas!$C$6</f>
        <v>499.90000000000003</v>
      </c>
      <c r="M7" s="27">
        <f>5*Receitas!$C$7</f>
        <v>1249.95</v>
      </c>
      <c r="N7" s="27">
        <f>J7+K7+L7+M7-Investimento!$C$7</f>
        <v>2094.1999999999998</v>
      </c>
      <c r="P7" s="26">
        <v>4</v>
      </c>
      <c r="Q7" s="27">
        <f>65*Receitas!$C$4</f>
        <v>324.35000000000002</v>
      </c>
      <c r="R7" s="27">
        <f>30*Receitas!$C$5</f>
        <v>599.69999999999993</v>
      </c>
      <c r="S7" s="27">
        <f>20*Receitas!$C$6</f>
        <v>999.80000000000007</v>
      </c>
      <c r="T7" s="27">
        <f>6*Receitas!$C$7</f>
        <v>1499.94</v>
      </c>
      <c r="U7" s="27">
        <f>Q7+R7+S7+T7-Investimento!$C$7</f>
        <v>3068.79</v>
      </c>
    </row>
    <row r="8" spans="2:21" x14ac:dyDescent="0.25">
      <c r="B8" s="28">
        <v>5</v>
      </c>
      <c r="C8" s="27">
        <f>5*Receitas!$C$4</f>
        <v>24.950000000000003</v>
      </c>
      <c r="D8" s="27">
        <f>4*Receitas!$C$5</f>
        <v>79.959999999999994</v>
      </c>
      <c r="E8" s="27">
        <f>2*Receitas!$C$6</f>
        <v>99.98</v>
      </c>
      <c r="F8" s="27">
        <v>0</v>
      </c>
      <c r="G8" s="45">
        <f>C8+D8+E8+F8-Investimento!$C$7</f>
        <v>-150.11000000000001</v>
      </c>
      <c r="I8" s="28">
        <v>5</v>
      </c>
      <c r="J8" s="27">
        <f>40*Receitas!$C$4</f>
        <v>199.60000000000002</v>
      </c>
      <c r="K8" s="27">
        <f>25*Receitas!$C$5</f>
        <v>499.74999999999994</v>
      </c>
      <c r="L8" s="27">
        <f>10*Receitas!$C$6</f>
        <v>499.90000000000003</v>
      </c>
      <c r="M8" s="27">
        <f>5*Receitas!$C$7</f>
        <v>1249.95</v>
      </c>
      <c r="N8" s="27">
        <f>J8+K8+L8+M8-Investimento!$C$7</f>
        <v>2094.1999999999998</v>
      </c>
      <c r="P8" s="28">
        <v>5</v>
      </c>
      <c r="Q8" s="27">
        <f>65*Receitas!$C$4</f>
        <v>324.35000000000002</v>
      </c>
      <c r="R8" s="27">
        <f>30*Receitas!$C$5</f>
        <v>599.69999999999993</v>
      </c>
      <c r="S8" s="27">
        <f>20*Receitas!$C$6</f>
        <v>999.80000000000007</v>
      </c>
      <c r="T8" s="27">
        <f>6*Receitas!$C$7</f>
        <v>1499.94</v>
      </c>
      <c r="U8" s="27">
        <f>Q8+R8+S8+T8-Investimento!$C$7</f>
        <v>3068.79</v>
      </c>
    </row>
    <row r="9" spans="2:21" x14ac:dyDescent="0.25">
      <c r="B9" s="28">
        <v>6</v>
      </c>
      <c r="C9" s="27">
        <f>10*Receitas!$C$4</f>
        <v>49.900000000000006</v>
      </c>
      <c r="D9" s="27">
        <f>5*Receitas!$C$5</f>
        <v>99.949999999999989</v>
      </c>
      <c r="E9" s="27">
        <f>3*Receitas!$C$6</f>
        <v>149.97</v>
      </c>
      <c r="F9" s="27">
        <f>1*Receitas!$C$7</f>
        <v>249.99</v>
      </c>
      <c r="G9" s="27">
        <f>C9+D9+E9+F9-Investimento!$C$7</f>
        <v>194.80999999999995</v>
      </c>
      <c r="I9" s="28">
        <v>6</v>
      </c>
      <c r="J9" s="27">
        <f>50*Receitas!$C$4</f>
        <v>249.5</v>
      </c>
      <c r="K9" s="27">
        <f>25*Receitas!$C$5</f>
        <v>499.74999999999994</v>
      </c>
      <c r="L9" s="27">
        <f>10*Receitas!$C$6</f>
        <v>499.90000000000003</v>
      </c>
      <c r="M9" s="27">
        <f>5*Receitas!$C$7</f>
        <v>1249.95</v>
      </c>
      <c r="N9" s="27">
        <f>J9+K9+L9+M9-Investimento!$C$7</f>
        <v>2144.1000000000004</v>
      </c>
      <c r="P9" s="28">
        <v>6</v>
      </c>
      <c r="Q9" s="27">
        <f>65*Receitas!$C$4</f>
        <v>324.35000000000002</v>
      </c>
      <c r="R9" s="27">
        <f>30*Receitas!$C$5</f>
        <v>599.69999999999993</v>
      </c>
      <c r="S9" s="27">
        <f>20*Receitas!$C$6</f>
        <v>999.80000000000007</v>
      </c>
      <c r="T9" s="27">
        <f>6*Receitas!$C$7</f>
        <v>1499.94</v>
      </c>
      <c r="U9" s="27">
        <f>Q9+R9+S9+T9-Investimento!$C$7</f>
        <v>3068.79</v>
      </c>
    </row>
    <row r="10" spans="2:21" x14ac:dyDescent="0.25">
      <c r="B10" s="28">
        <v>7</v>
      </c>
      <c r="C10" s="27">
        <f>10*Receitas!$C$4</f>
        <v>49.900000000000006</v>
      </c>
      <c r="D10" s="27">
        <f>5*Receitas!$C$5</f>
        <v>99.949999999999989</v>
      </c>
      <c r="E10" s="27">
        <f>3*Receitas!$C$6</f>
        <v>149.97</v>
      </c>
      <c r="F10" s="27">
        <f>1*Receitas!$C$7</f>
        <v>249.99</v>
      </c>
      <c r="G10" s="27">
        <f>C10+D10+E10+F10-Investimento!$C$7</f>
        <v>194.80999999999995</v>
      </c>
      <c r="I10" s="28">
        <v>7</v>
      </c>
      <c r="J10" s="27">
        <f>50*Receitas!$C$4</f>
        <v>249.5</v>
      </c>
      <c r="K10" s="27">
        <f>25*Receitas!$C$5</f>
        <v>499.74999999999994</v>
      </c>
      <c r="L10" s="27">
        <f>15*Receitas!$C$6</f>
        <v>749.85</v>
      </c>
      <c r="M10" s="27">
        <f>5*Receitas!$C$7</f>
        <v>1249.95</v>
      </c>
      <c r="N10" s="27">
        <f>J10+K10+L10+M10-Investimento!$C$7</f>
        <v>2394.0500000000002</v>
      </c>
      <c r="P10" s="28">
        <v>7</v>
      </c>
      <c r="Q10" s="27">
        <f>65*Receitas!$C$4</f>
        <v>324.35000000000002</v>
      </c>
      <c r="R10" s="27">
        <f>30*Receitas!$C$5</f>
        <v>599.69999999999993</v>
      </c>
      <c r="S10" s="27">
        <f>20*Receitas!$C$6</f>
        <v>999.80000000000007</v>
      </c>
      <c r="T10" s="27">
        <f>6*Receitas!$C$7</f>
        <v>1499.94</v>
      </c>
      <c r="U10" s="27">
        <f>Q10+R10+S10+T10-Investimento!$C$7</f>
        <v>3068.79</v>
      </c>
    </row>
    <row r="11" spans="2:21" x14ac:dyDescent="0.25">
      <c r="B11" s="28">
        <v>8</v>
      </c>
      <c r="C11" s="27">
        <f>15*Receitas!$C$4</f>
        <v>74.850000000000009</v>
      </c>
      <c r="D11" s="27">
        <f>5*Receitas!$C$5</f>
        <v>99.949999999999989</v>
      </c>
      <c r="E11" s="27">
        <f>3*Receitas!$C$6</f>
        <v>149.97</v>
      </c>
      <c r="F11" s="27">
        <f>1*Receitas!$C$7</f>
        <v>249.99</v>
      </c>
      <c r="G11" s="27">
        <f>C11+D11+E11+F11-Investimento!$C$7</f>
        <v>219.76</v>
      </c>
      <c r="I11" s="28">
        <v>8</v>
      </c>
      <c r="J11" s="27">
        <f>50*Receitas!$C$4</f>
        <v>249.5</v>
      </c>
      <c r="K11" s="27">
        <f>25*Receitas!$C$5</f>
        <v>499.74999999999994</v>
      </c>
      <c r="L11" s="27">
        <f>15*Receitas!$C$6</f>
        <v>749.85</v>
      </c>
      <c r="M11" s="27">
        <f>6*Receitas!$C$7</f>
        <v>1499.94</v>
      </c>
      <c r="N11" s="27">
        <f>J11+K11+L11+M11-Investimento!$C$7</f>
        <v>2644.04</v>
      </c>
      <c r="P11" s="28">
        <v>8</v>
      </c>
      <c r="Q11" s="27">
        <f>70*Receitas!$C$4</f>
        <v>349.3</v>
      </c>
      <c r="R11" s="27">
        <f>30*Receitas!$C$5</f>
        <v>599.69999999999993</v>
      </c>
      <c r="S11" s="27">
        <f>20*Receitas!$C$6</f>
        <v>999.80000000000007</v>
      </c>
      <c r="T11" s="27">
        <f>7*Receitas!$C$7</f>
        <v>1749.93</v>
      </c>
      <c r="U11" s="27">
        <f>Q11+R11+S11+T11-Investimento!$C$7</f>
        <v>3343.7300000000005</v>
      </c>
    </row>
    <row r="12" spans="2:21" x14ac:dyDescent="0.25">
      <c r="B12" s="28">
        <v>9</v>
      </c>
      <c r="C12" s="27">
        <f>15*Receitas!$C$4</f>
        <v>74.850000000000009</v>
      </c>
      <c r="D12" s="27">
        <f>10*Receitas!$C$5</f>
        <v>199.89999999999998</v>
      </c>
      <c r="E12" s="27">
        <f>5*Receitas!$C$6</f>
        <v>249.95000000000002</v>
      </c>
      <c r="F12" s="27">
        <f>2*Receitas!$C$7</f>
        <v>499.98</v>
      </c>
      <c r="G12" s="27">
        <f>C12+D12+E12+F12-Investimento!$C$7</f>
        <v>669.68000000000006</v>
      </c>
      <c r="I12" s="28">
        <v>9</v>
      </c>
      <c r="J12" s="27">
        <f>50*Receitas!$C$4</f>
        <v>249.5</v>
      </c>
      <c r="K12" s="27">
        <f>30*Receitas!$C$5</f>
        <v>599.69999999999993</v>
      </c>
      <c r="L12" s="27">
        <f>15*Receitas!$C$6</f>
        <v>749.85</v>
      </c>
      <c r="M12" s="27">
        <f>6*Receitas!$C$7</f>
        <v>1499.94</v>
      </c>
      <c r="N12" s="27">
        <f>J12+K12+L12+M12-Investimento!$C$7</f>
        <v>2743.99</v>
      </c>
      <c r="P12" s="28">
        <v>9</v>
      </c>
      <c r="Q12" s="27">
        <f>70*Receitas!$C$4</f>
        <v>349.3</v>
      </c>
      <c r="R12" s="27">
        <f>30*Receitas!$C$5</f>
        <v>599.69999999999993</v>
      </c>
      <c r="S12" s="27">
        <f>20*Receitas!$C$6</f>
        <v>999.80000000000007</v>
      </c>
      <c r="T12" s="27">
        <f>7*Receitas!$C$7</f>
        <v>1749.93</v>
      </c>
      <c r="U12" s="27">
        <f>Q12+R12+S12+T12-Investimento!$C$7</f>
        <v>3343.7300000000005</v>
      </c>
    </row>
    <row r="13" spans="2:21" x14ac:dyDescent="0.25">
      <c r="B13" s="28">
        <v>10</v>
      </c>
      <c r="C13" s="27">
        <f>20*Receitas!$C$4</f>
        <v>99.800000000000011</v>
      </c>
      <c r="D13" s="27">
        <f>10*Receitas!$C$5</f>
        <v>199.89999999999998</v>
      </c>
      <c r="E13" s="27">
        <f>5*Receitas!$C$6</f>
        <v>249.95000000000002</v>
      </c>
      <c r="F13" s="27">
        <f>3*Receitas!$C$7</f>
        <v>749.97</v>
      </c>
      <c r="G13" s="27">
        <f>C13+D13+E13+F13-Investimento!$C$7</f>
        <v>944.61999999999989</v>
      </c>
      <c r="I13" s="28">
        <v>10</v>
      </c>
      <c r="J13" s="27">
        <f>50*Receitas!$C$4</f>
        <v>249.5</v>
      </c>
      <c r="K13" s="27">
        <f>30*Receitas!$C$5</f>
        <v>599.69999999999993</v>
      </c>
      <c r="L13" s="27">
        <f>15*Receitas!$C$6</f>
        <v>749.85</v>
      </c>
      <c r="M13" s="27">
        <f>6*Receitas!$C$7</f>
        <v>1499.94</v>
      </c>
      <c r="N13" s="27">
        <f>J13+K13+L13+M13-Investimento!$C$7</f>
        <v>2743.99</v>
      </c>
      <c r="P13" s="28">
        <v>10</v>
      </c>
      <c r="Q13" s="27">
        <f>70*Receitas!$C$4</f>
        <v>349.3</v>
      </c>
      <c r="R13" s="27">
        <f>35*Receitas!$C$5</f>
        <v>699.65</v>
      </c>
      <c r="S13" s="27">
        <f>20*Receitas!$C$6</f>
        <v>999.80000000000007</v>
      </c>
      <c r="T13" s="27">
        <f>7*Receitas!$C$7</f>
        <v>1749.93</v>
      </c>
      <c r="U13" s="27">
        <f>Q13+R13+S13+T13-Investimento!$C$7</f>
        <v>3443.6800000000003</v>
      </c>
    </row>
    <row r="14" spans="2:21" x14ac:dyDescent="0.25">
      <c r="B14" s="28">
        <v>11</v>
      </c>
      <c r="C14" s="27">
        <f>30*Receitas!$C$4</f>
        <v>149.70000000000002</v>
      </c>
      <c r="D14" s="27">
        <f>15*Receitas!$C$5</f>
        <v>299.84999999999997</v>
      </c>
      <c r="E14" s="27">
        <f>5*Receitas!$C$6</f>
        <v>249.95000000000002</v>
      </c>
      <c r="F14" s="27">
        <f>4*Receitas!$C$7</f>
        <v>999.96</v>
      </c>
      <c r="G14" s="27">
        <f>C14+D14+E14+F14-Investimento!$C$7</f>
        <v>1344.46</v>
      </c>
      <c r="I14" s="28">
        <v>11</v>
      </c>
      <c r="J14" s="27">
        <f>60*Receitas!$C$4</f>
        <v>299.40000000000003</v>
      </c>
      <c r="K14" s="27">
        <f>30*Receitas!$C$5</f>
        <v>599.69999999999993</v>
      </c>
      <c r="L14" s="27">
        <f>20*Receitas!$C$6</f>
        <v>999.80000000000007</v>
      </c>
      <c r="M14" s="27">
        <f>6*Receitas!$C$7</f>
        <v>1499.94</v>
      </c>
      <c r="N14" s="27">
        <f>J14+K14+L14+M14-Investimento!$C$7</f>
        <v>3043.84</v>
      </c>
      <c r="P14" s="28">
        <v>11</v>
      </c>
      <c r="Q14" s="27">
        <f>70*Receitas!$C$4</f>
        <v>349.3</v>
      </c>
      <c r="R14" s="27">
        <f>35*Receitas!$C$5</f>
        <v>699.65</v>
      </c>
      <c r="S14" s="27">
        <f>25*Receitas!$C$6</f>
        <v>1249.75</v>
      </c>
      <c r="T14" s="27">
        <f>7*Receitas!$C$7</f>
        <v>1749.93</v>
      </c>
      <c r="U14" s="27">
        <f>Q14+R14+S14+T14-Investimento!$C$7</f>
        <v>3693.63</v>
      </c>
    </row>
    <row r="15" spans="2:21" x14ac:dyDescent="0.25">
      <c r="B15" s="28">
        <v>12</v>
      </c>
      <c r="C15" s="27">
        <f>30*Receitas!$C$4</f>
        <v>149.70000000000002</v>
      </c>
      <c r="D15" s="27">
        <f>15*Receitas!$C$5</f>
        <v>299.84999999999997</v>
      </c>
      <c r="E15" s="27">
        <f>10*Receitas!$C$6</f>
        <v>499.90000000000003</v>
      </c>
      <c r="F15" s="27">
        <f>5*Receitas!$C$7</f>
        <v>1249.95</v>
      </c>
      <c r="G15" s="27">
        <f>C15+D15+E15+F15-Investimento!$C$7</f>
        <v>1844.4</v>
      </c>
      <c r="I15" s="28">
        <v>12</v>
      </c>
      <c r="J15" s="27">
        <f>60*Receitas!$C$4</f>
        <v>299.40000000000003</v>
      </c>
      <c r="K15" s="27">
        <f>30*Receitas!$C$5</f>
        <v>599.69999999999993</v>
      </c>
      <c r="L15" s="27">
        <f>20*Receitas!$C$6</f>
        <v>999.80000000000007</v>
      </c>
      <c r="M15" s="27">
        <f>6*Receitas!$C$7</f>
        <v>1499.94</v>
      </c>
      <c r="N15" s="27">
        <f>J15+K15+L15+M15-Investimento!$C$7</f>
        <v>3043.84</v>
      </c>
      <c r="P15" s="28">
        <v>12</v>
      </c>
      <c r="Q15" s="27">
        <f>70*Receitas!$C$4</f>
        <v>349.3</v>
      </c>
      <c r="R15" s="27">
        <f>35*Receitas!$C$5</f>
        <v>699.65</v>
      </c>
      <c r="S15" s="27">
        <f>25*Receitas!$C$6</f>
        <v>1249.75</v>
      </c>
      <c r="T15" s="27">
        <f>7*Receitas!$C$7</f>
        <v>1749.93</v>
      </c>
      <c r="U15" s="27">
        <f>Q15+R15+S15+T15-Investimento!$C$7</f>
        <v>3693.63</v>
      </c>
    </row>
    <row r="16" spans="2:21" x14ac:dyDescent="0.25">
      <c r="B16" s="28"/>
      <c r="C16" s="27"/>
      <c r="D16" s="27"/>
      <c r="E16" s="27"/>
      <c r="F16" s="27" t="s">
        <v>42</v>
      </c>
      <c r="G16" s="27">
        <f>NPV(Investimento!F4,G4:G15)</f>
        <v>3502.3991421418145</v>
      </c>
      <c r="I16" s="28"/>
      <c r="J16" s="27"/>
      <c r="K16" s="27"/>
      <c r="L16" s="27"/>
      <c r="M16" s="27" t="s">
        <v>42</v>
      </c>
      <c r="N16" s="27">
        <f>NPV(Investimento!F4,N4:N15)</f>
        <v>26029.477074914324</v>
      </c>
      <c r="P16" s="28"/>
      <c r="Q16" s="27"/>
      <c r="R16" s="27"/>
      <c r="S16" s="27"/>
      <c r="T16" s="27" t="s">
        <v>42</v>
      </c>
      <c r="U16" s="27">
        <f>NPV(Investimento!F4,U4:U15)</f>
        <v>35190.483418900301</v>
      </c>
    </row>
    <row r="17" spans="2:21" x14ac:dyDescent="0.25">
      <c r="B17" s="26"/>
      <c r="C17" s="26"/>
      <c r="D17" s="26"/>
      <c r="E17" s="26"/>
      <c r="F17" s="26"/>
      <c r="G17" s="27">
        <f>FV(Investimento!F4,B15,,-G16)</f>
        <v>4202.8789705702102</v>
      </c>
      <c r="I17" s="26"/>
      <c r="J17" s="26"/>
      <c r="K17" s="26"/>
      <c r="L17" s="26"/>
      <c r="M17" s="26"/>
      <c r="N17" s="27">
        <f>FV(Investimento!F4,I15,,-N16)</f>
        <v>31235.372489897432</v>
      </c>
      <c r="P17" s="26"/>
      <c r="Q17" s="26"/>
      <c r="R17" s="26"/>
      <c r="S17" s="26"/>
      <c r="T17" s="26"/>
      <c r="U17" s="27">
        <f>FV(Investimento!F4,P15,,-U16)</f>
        <v>42228.580102680688</v>
      </c>
    </row>
    <row r="18" spans="2:21" x14ac:dyDescent="0.25">
      <c r="B18" s="5"/>
      <c r="C18" s="5"/>
      <c r="D18" s="5"/>
      <c r="E18" s="5"/>
      <c r="F18" s="5"/>
      <c r="G18" s="5"/>
      <c r="H18" s="29"/>
    </row>
    <row r="19" spans="2:21" x14ac:dyDescent="0.25">
      <c r="B19" s="49" t="s">
        <v>37</v>
      </c>
      <c r="C19" s="49"/>
      <c r="D19" s="49"/>
      <c r="E19" s="49"/>
      <c r="F19" s="49"/>
      <c r="G19" s="49"/>
      <c r="I19" s="49" t="s">
        <v>38</v>
      </c>
      <c r="J19" s="49"/>
      <c r="K19" s="49"/>
      <c r="L19" s="49"/>
      <c r="M19" s="49"/>
      <c r="N19" s="49"/>
      <c r="O19" s="2"/>
      <c r="P19" s="49" t="s">
        <v>21</v>
      </c>
      <c r="Q19" s="49"/>
      <c r="S19" s="30" t="s">
        <v>40</v>
      </c>
      <c r="T19" s="30" t="s">
        <v>41</v>
      </c>
    </row>
    <row r="20" spans="2:21" x14ac:dyDescent="0.25">
      <c r="B20" s="25" t="s">
        <v>33</v>
      </c>
      <c r="C20" s="25" t="s">
        <v>28</v>
      </c>
      <c r="D20" s="25" t="s">
        <v>29</v>
      </c>
      <c r="E20" s="25" t="s">
        <v>34</v>
      </c>
      <c r="F20" s="25" t="s">
        <v>31</v>
      </c>
      <c r="G20" s="25" t="s">
        <v>6</v>
      </c>
      <c r="I20" s="25" t="s">
        <v>33</v>
      </c>
      <c r="J20" s="25" t="s">
        <v>28</v>
      </c>
      <c r="K20" s="25" t="s">
        <v>29</v>
      </c>
      <c r="L20" s="25" t="s">
        <v>34</v>
      </c>
      <c r="M20" s="25" t="s">
        <v>31</v>
      </c>
      <c r="N20" s="25" t="s">
        <v>6</v>
      </c>
      <c r="P20" s="25" t="s">
        <v>20</v>
      </c>
      <c r="Q20" s="25" t="s">
        <v>2</v>
      </c>
      <c r="S20" s="25" t="s">
        <v>20</v>
      </c>
      <c r="T20" s="25" t="s">
        <v>2</v>
      </c>
    </row>
    <row r="21" spans="2:21" x14ac:dyDescent="0.25">
      <c r="B21" s="26">
        <v>1</v>
      </c>
      <c r="C21" s="27">
        <f>70*Receitas!$C$4</f>
        <v>349.3</v>
      </c>
      <c r="D21" s="27">
        <f>35*Receitas!$C$5</f>
        <v>699.65</v>
      </c>
      <c r="E21" s="27">
        <f>25*Receitas!$C$6</f>
        <v>1249.75</v>
      </c>
      <c r="F21" s="27">
        <f>7*Receitas!$C$7</f>
        <v>1749.93</v>
      </c>
      <c r="G21" s="27">
        <f>C21+D21+E21+F21-Investimento!$C$7</f>
        <v>3693.63</v>
      </c>
      <c r="I21" s="26">
        <v>1</v>
      </c>
      <c r="J21" s="27">
        <f>75*Receitas!$C$4</f>
        <v>374.25</v>
      </c>
      <c r="K21" s="27">
        <f>40*Receitas!$C$5</f>
        <v>799.59999999999991</v>
      </c>
      <c r="L21" s="27">
        <f>30*Receitas!$C$6</f>
        <v>1499.7</v>
      </c>
      <c r="M21" s="27">
        <f>15*Receitas!$C$7</f>
        <v>3749.8500000000004</v>
      </c>
      <c r="N21" s="27">
        <f>J21+K21+L21+M21-Investimento!$C$7</f>
        <v>6068.4000000000005</v>
      </c>
      <c r="O21" s="3"/>
      <c r="P21" s="26">
        <v>0</v>
      </c>
      <c r="Q21" s="27">
        <f>-Investimento!C24</f>
        <v>-86735</v>
      </c>
      <c r="S21" s="35">
        <v>0</v>
      </c>
      <c r="T21" s="26">
        <v>0</v>
      </c>
    </row>
    <row r="22" spans="2:21" x14ac:dyDescent="0.25">
      <c r="B22" s="26">
        <v>2</v>
      </c>
      <c r="C22" s="27">
        <f>70*Receitas!$C$4</f>
        <v>349.3</v>
      </c>
      <c r="D22" s="27">
        <f>35*Receitas!$C$5</f>
        <v>699.65</v>
      </c>
      <c r="E22" s="27">
        <f>25*Receitas!$C$6</f>
        <v>1249.75</v>
      </c>
      <c r="F22" s="27">
        <f>7*Receitas!$C$7</f>
        <v>1749.93</v>
      </c>
      <c r="G22" s="27">
        <f>C22+D22+E22+F22-Investimento!$C$7</f>
        <v>3693.63</v>
      </c>
      <c r="I22" s="26">
        <v>2</v>
      </c>
      <c r="J22" s="27">
        <f>75*Receitas!$C$4</f>
        <v>374.25</v>
      </c>
      <c r="K22" s="27">
        <f>40*Receitas!$C$5</f>
        <v>799.59999999999991</v>
      </c>
      <c r="L22" s="27">
        <f>30*Receitas!$C$6</f>
        <v>1499.7</v>
      </c>
      <c r="M22" s="27">
        <f>15*Receitas!$C$7</f>
        <v>3749.8500000000004</v>
      </c>
      <c r="N22" s="27">
        <f>J22+K22+L22+M22-Investimento!$C$7</f>
        <v>6068.4000000000005</v>
      </c>
      <c r="O22" s="3"/>
      <c r="P22" s="26">
        <v>1</v>
      </c>
      <c r="Q22" s="32">
        <f>G17</f>
        <v>4202.8789705702102</v>
      </c>
      <c r="S22" s="32">
        <f>PV(Investimento!$F$3,P22,,-Q22)</f>
        <v>3502.3991421418418</v>
      </c>
      <c r="T22" s="32">
        <f>S22+T21</f>
        <v>3502.3991421418418</v>
      </c>
    </row>
    <row r="23" spans="2:21" x14ac:dyDescent="0.25">
      <c r="B23" s="26">
        <v>3</v>
      </c>
      <c r="C23" s="27">
        <f>70*Receitas!$C$4</f>
        <v>349.3</v>
      </c>
      <c r="D23" s="27">
        <f>35*Receitas!$C$5</f>
        <v>699.65</v>
      </c>
      <c r="E23" s="27">
        <f>25*Receitas!$C$6</f>
        <v>1249.75</v>
      </c>
      <c r="F23" s="27">
        <f>7*Receitas!$C$7</f>
        <v>1749.93</v>
      </c>
      <c r="G23" s="27">
        <f>C23+D23+E23+F23-Investimento!$C$7</f>
        <v>3693.63</v>
      </c>
      <c r="I23" s="26">
        <v>3</v>
      </c>
      <c r="J23" s="27">
        <f>75*Receitas!$C$4</f>
        <v>374.25</v>
      </c>
      <c r="K23" s="27">
        <f>40*Receitas!$C$5</f>
        <v>799.59999999999991</v>
      </c>
      <c r="L23" s="27">
        <f>30*Receitas!$C$6</f>
        <v>1499.7</v>
      </c>
      <c r="M23" s="27">
        <f>15*Receitas!$C$7</f>
        <v>3749.8500000000004</v>
      </c>
      <c r="N23" s="27">
        <f>J23+K23+L23+M23-Investimento!$C$7</f>
        <v>6068.4000000000005</v>
      </c>
      <c r="O23" s="3"/>
      <c r="P23" s="26">
        <v>2</v>
      </c>
      <c r="Q23" s="32">
        <f>N17</f>
        <v>31235.372489897432</v>
      </c>
      <c r="S23" s="32">
        <f>PV(Investimento!$F$3,P23,,-Q23)</f>
        <v>21691.230895762106</v>
      </c>
      <c r="T23" s="32">
        <f t="shared" ref="T23:T26" si="0">S23+T22</f>
        <v>25193.630037903949</v>
      </c>
    </row>
    <row r="24" spans="2:21" x14ac:dyDescent="0.25">
      <c r="B24" s="26">
        <v>4</v>
      </c>
      <c r="C24" s="27">
        <f>75*Receitas!$C$4</f>
        <v>374.25</v>
      </c>
      <c r="D24" s="27">
        <f>35*Receitas!$C$5</f>
        <v>699.65</v>
      </c>
      <c r="E24" s="27">
        <f>25*Receitas!$C$6</f>
        <v>1249.75</v>
      </c>
      <c r="F24" s="27">
        <f>7*Receitas!$C$7</f>
        <v>1749.93</v>
      </c>
      <c r="G24" s="27">
        <f>C24+D24+E24+F24-Investimento!$C$7</f>
        <v>3718.58</v>
      </c>
      <c r="I24" s="26">
        <v>4</v>
      </c>
      <c r="J24" s="27">
        <f>75*Receitas!$C$4</f>
        <v>374.25</v>
      </c>
      <c r="K24" s="27">
        <f>40*Receitas!$C$5</f>
        <v>799.59999999999991</v>
      </c>
      <c r="L24" s="27">
        <f>30*Receitas!$C$6</f>
        <v>1499.7</v>
      </c>
      <c r="M24" s="27">
        <f>15*Receitas!$C$7</f>
        <v>3749.8500000000004</v>
      </c>
      <c r="N24" s="27">
        <f>J24+K24+L24+M24-Investimento!$C$7</f>
        <v>6068.4000000000005</v>
      </c>
      <c r="O24" s="3"/>
      <c r="P24" s="26">
        <v>3</v>
      </c>
      <c r="Q24" s="32">
        <f>U17</f>
        <v>42228.580102680688</v>
      </c>
      <c r="S24" s="32">
        <f>PV(Investimento!$F$3,P24,,-Q24)</f>
        <v>24437.835707569844</v>
      </c>
      <c r="T24" s="32">
        <f t="shared" si="0"/>
        <v>49631.46574547379</v>
      </c>
    </row>
    <row r="25" spans="2:21" x14ac:dyDescent="0.25">
      <c r="B25" s="28">
        <v>5</v>
      </c>
      <c r="C25" s="27">
        <f>75*Receitas!$C$4</f>
        <v>374.25</v>
      </c>
      <c r="D25" s="27">
        <f>35*Receitas!$C$5</f>
        <v>699.65</v>
      </c>
      <c r="E25" s="27">
        <f>25*Receitas!$C$6</f>
        <v>1249.75</v>
      </c>
      <c r="F25" s="27">
        <f>8*Receitas!$C$7</f>
        <v>1999.92</v>
      </c>
      <c r="G25" s="27">
        <f>C25+D25+E25+F25-Investimento!$C$7</f>
        <v>3968.5699999999997</v>
      </c>
      <c r="I25" s="28">
        <v>5</v>
      </c>
      <c r="J25" s="27">
        <f>75*Receitas!$C$4</f>
        <v>374.25</v>
      </c>
      <c r="K25" s="27">
        <f>40*Receitas!$C$5</f>
        <v>799.59999999999991</v>
      </c>
      <c r="L25" s="27">
        <f>30*Receitas!$C$6</f>
        <v>1499.7</v>
      </c>
      <c r="M25" s="27">
        <f>20*Receitas!$C$7</f>
        <v>4999.8</v>
      </c>
      <c r="N25" s="27">
        <f>J25+K25+L25+M25-Investimento!$C$7</f>
        <v>7318.35</v>
      </c>
      <c r="O25" s="3"/>
      <c r="P25" s="26">
        <v>4</v>
      </c>
      <c r="Q25" s="32">
        <f>G34</f>
        <v>53880.739309944525</v>
      </c>
      <c r="S25" s="32">
        <f>PV(Investimento!$F$3,P25,,-Q25)</f>
        <v>25984.152830798866</v>
      </c>
      <c r="T25" s="8">
        <f t="shared" si="0"/>
        <v>75615.618576272653</v>
      </c>
    </row>
    <row r="26" spans="2:21" x14ac:dyDescent="0.25">
      <c r="B26" s="28">
        <v>6</v>
      </c>
      <c r="C26" s="27">
        <f>75*Receitas!$C$4</f>
        <v>374.25</v>
      </c>
      <c r="D26" s="27">
        <f>40*Receitas!$C$5</f>
        <v>799.59999999999991</v>
      </c>
      <c r="E26" s="27">
        <f>25*Receitas!$C$6</f>
        <v>1249.75</v>
      </c>
      <c r="F26" s="27">
        <f>8*Receitas!$C$7</f>
        <v>1999.92</v>
      </c>
      <c r="G26" s="27">
        <f>C26+D26+E26+F26-Investimento!$C$7</f>
        <v>4068.5200000000004</v>
      </c>
      <c r="I26" s="28">
        <v>6</v>
      </c>
      <c r="J26" s="27">
        <f>80*Receitas!$C$4</f>
        <v>399.20000000000005</v>
      </c>
      <c r="K26" s="27">
        <f>40*Receitas!$C$5</f>
        <v>799.59999999999991</v>
      </c>
      <c r="L26" s="27">
        <f>30*Receitas!$C$6</f>
        <v>1499.7</v>
      </c>
      <c r="M26" s="27">
        <f>20*Receitas!$C$7</f>
        <v>4999.8</v>
      </c>
      <c r="N26" s="27">
        <f>J26+K26+L26+M26-Investimento!$C$7</f>
        <v>7343.3</v>
      </c>
      <c r="O26" s="3"/>
      <c r="P26" s="26">
        <v>5</v>
      </c>
      <c r="Q26" s="32">
        <f>N34</f>
        <v>95440.830331102465</v>
      </c>
      <c r="S26" s="32">
        <f>PV(Investimento!$F$3,P26,,-Q26)</f>
        <v>38355.529164698462</v>
      </c>
      <c r="T26" s="8">
        <f t="shared" si="0"/>
        <v>113971.14774097112</v>
      </c>
    </row>
    <row r="27" spans="2:21" x14ac:dyDescent="0.25">
      <c r="B27" s="28">
        <v>7</v>
      </c>
      <c r="C27" s="27">
        <f>75*Receitas!$C$4</f>
        <v>374.25</v>
      </c>
      <c r="D27" s="27">
        <f>40*Receitas!$C$5</f>
        <v>799.59999999999991</v>
      </c>
      <c r="E27" s="27">
        <f>25*Receitas!$C$6</f>
        <v>1249.75</v>
      </c>
      <c r="F27" s="27">
        <f>8*Receitas!$C$7</f>
        <v>1999.92</v>
      </c>
      <c r="G27" s="27">
        <f>C27+D27+E27+F27-Investimento!$C$7</f>
        <v>4068.5200000000004</v>
      </c>
      <c r="I27" s="28">
        <v>7</v>
      </c>
      <c r="J27" s="27">
        <f>80*Receitas!$C$4</f>
        <v>399.20000000000005</v>
      </c>
      <c r="K27" s="27">
        <f>40*Receitas!$C$5</f>
        <v>799.59999999999991</v>
      </c>
      <c r="L27" s="27">
        <f>30*Receitas!$C$6</f>
        <v>1499.7</v>
      </c>
      <c r="M27" s="27">
        <f>20*Receitas!$C$7</f>
        <v>4999.8</v>
      </c>
      <c r="N27" s="27">
        <f>J27+K27+L27+M27-Investimento!$C$7</f>
        <v>7343.3</v>
      </c>
      <c r="O27" s="3"/>
      <c r="P27" s="25" t="s">
        <v>39</v>
      </c>
      <c r="Q27" s="32">
        <f>NPV(Investimento!F3,Q22:Q26)</f>
        <v>113971.14774097112</v>
      </c>
    </row>
    <row r="28" spans="2:21" x14ac:dyDescent="0.25">
      <c r="B28" s="28">
        <v>8</v>
      </c>
      <c r="C28" s="27">
        <f>75*Receitas!$C$4</f>
        <v>374.25</v>
      </c>
      <c r="D28" s="27">
        <f>40*Receitas!$C$5</f>
        <v>799.59999999999991</v>
      </c>
      <c r="E28" s="27">
        <f>25*Receitas!$C$6</f>
        <v>1249.75</v>
      </c>
      <c r="F28" s="27">
        <f>8*Receitas!$C$7</f>
        <v>1999.92</v>
      </c>
      <c r="G28" s="27">
        <f>C28+D28+E28+F28-Investimento!$C$7</f>
        <v>4068.5200000000004</v>
      </c>
      <c r="I28" s="28">
        <v>8</v>
      </c>
      <c r="J28" s="27">
        <f>90*Receitas!$C$4</f>
        <v>449.1</v>
      </c>
      <c r="K28" s="27">
        <f>45*Receitas!$C$5</f>
        <v>899.55</v>
      </c>
      <c r="L28" s="27">
        <f>30*Receitas!$C$6</f>
        <v>1499.7</v>
      </c>
      <c r="M28" s="27">
        <f>20*Receitas!$C$7</f>
        <v>4999.8</v>
      </c>
      <c r="N28" s="27">
        <f>J28+K28+L28+M28-Investimento!$C$7</f>
        <v>7493.1500000000005</v>
      </c>
      <c r="O28" s="3"/>
      <c r="P28" s="25" t="s">
        <v>22</v>
      </c>
      <c r="Q28" s="32">
        <f>Q21+Q27</f>
        <v>27236.147740971122</v>
      </c>
      <c r="S28" s="32">
        <f>-Q21-T25</f>
        <v>11119.381423727347</v>
      </c>
    </row>
    <row r="29" spans="2:21" x14ac:dyDescent="0.25">
      <c r="B29" s="28">
        <v>9</v>
      </c>
      <c r="C29" s="27">
        <f>75*Receitas!$C$4</f>
        <v>374.25</v>
      </c>
      <c r="D29" s="27">
        <f>40*Receitas!$C$5</f>
        <v>799.59999999999991</v>
      </c>
      <c r="E29" s="27">
        <f>30*Receitas!$C$6</f>
        <v>1499.7</v>
      </c>
      <c r="F29" s="27">
        <f>8*Receitas!$C$7</f>
        <v>1999.92</v>
      </c>
      <c r="G29" s="27">
        <f>C29+D29+E29+F29-Investimento!$C$7</f>
        <v>4318.47</v>
      </c>
      <c r="I29" s="28">
        <v>9</v>
      </c>
      <c r="J29" s="27">
        <f>90*Receitas!$C$4</f>
        <v>449.1</v>
      </c>
      <c r="K29" s="27">
        <f>45*Receitas!$C$5</f>
        <v>899.55</v>
      </c>
      <c r="L29" s="27">
        <f>35*Receitas!$C$6</f>
        <v>1749.65</v>
      </c>
      <c r="M29" s="27">
        <f>20*Receitas!$C$7</f>
        <v>4999.8</v>
      </c>
      <c r="N29" s="27">
        <f>J29+K29+L29+M29-Investimento!$C$7</f>
        <v>7743.1</v>
      </c>
      <c r="O29" s="3"/>
      <c r="P29" s="25" t="s">
        <v>23</v>
      </c>
      <c r="Q29" s="32">
        <f>PMT(Investimento!F3,P26,-Q28)</f>
        <v>9107.2150003780462</v>
      </c>
      <c r="S29" s="32">
        <f>T26-T25</f>
        <v>38355.52916469847</v>
      </c>
    </row>
    <row r="30" spans="2:21" x14ac:dyDescent="0.25">
      <c r="B30" s="28">
        <v>10</v>
      </c>
      <c r="C30" s="27">
        <f>75*Receitas!$C$4</f>
        <v>374.25</v>
      </c>
      <c r="D30" s="27">
        <f>40*Receitas!$C$5</f>
        <v>799.59999999999991</v>
      </c>
      <c r="E30" s="27">
        <f>30*Receitas!$C$6</f>
        <v>1499.7</v>
      </c>
      <c r="F30" s="27">
        <f>10*Receitas!$C$7</f>
        <v>2499.9</v>
      </c>
      <c r="G30" s="27">
        <f>C30+D30+E30+F30-Investimento!$C$7</f>
        <v>4818.4500000000007</v>
      </c>
      <c r="I30" s="28">
        <v>10</v>
      </c>
      <c r="J30" s="27">
        <f>100*Receitas!$C$4</f>
        <v>499</v>
      </c>
      <c r="K30" s="27">
        <f>45*Receitas!$C$5</f>
        <v>899.55</v>
      </c>
      <c r="L30" s="27">
        <f>40*Receitas!$C$6</f>
        <v>1999.6000000000001</v>
      </c>
      <c r="M30" s="27">
        <f>20*Receitas!$C$7</f>
        <v>4999.8</v>
      </c>
      <c r="N30" s="27">
        <f>J30+K30+L30+M30-Investimento!$C$7</f>
        <v>8042.9500000000007</v>
      </c>
      <c r="O30" s="3"/>
      <c r="P30" s="25" t="s">
        <v>24</v>
      </c>
      <c r="Q30" s="33">
        <f>Q27/-Q21</f>
        <v>1.3140156538994767</v>
      </c>
      <c r="S30" s="33">
        <f>S28/S29</f>
        <v>0.28990295964841922</v>
      </c>
    </row>
    <row r="31" spans="2:21" x14ac:dyDescent="0.25">
      <c r="B31" s="28">
        <v>11</v>
      </c>
      <c r="C31" s="27">
        <f>75*Receitas!$C$4</f>
        <v>374.25</v>
      </c>
      <c r="D31" s="27">
        <f>40*Receitas!$C$5</f>
        <v>799.59999999999991</v>
      </c>
      <c r="E31" s="27">
        <f>30*Receitas!$C$6</f>
        <v>1499.7</v>
      </c>
      <c r="F31" s="27">
        <f>10*Receitas!$C$7</f>
        <v>2499.9</v>
      </c>
      <c r="G31" s="27">
        <f>C31+D31+E31+F31-Investimento!$C$7</f>
        <v>4818.4500000000007</v>
      </c>
      <c r="I31" s="28">
        <v>11</v>
      </c>
      <c r="J31" s="27">
        <f>100*Receitas!$C$4</f>
        <v>499</v>
      </c>
      <c r="K31" s="27">
        <f>50*Receitas!$C$5</f>
        <v>999.49999999999989</v>
      </c>
      <c r="L31" s="27">
        <f>40*Receitas!$C$6</f>
        <v>1999.6000000000001</v>
      </c>
      <c r="M31" s="27">
        <f>25*Receitas!$C$7</f>
        <v>6249.75</v>
      </c>
      <c r="N31" s="27">
        <f>J31+K31+L31+M31-Investimento!$C$7</f>
        <v>9392.85</v>
      </c>
      <c r="O31" s="3"/>
      <c r="P31" s="25" t="s">
        <v>25</v>
      </c>
      <c r="Q31" s="34">
        <f>RATE(P26,,-1,Q30)</f>
        <v>5.6136635541631237E-2</v>
      </c>
      <c r="R31" t="s">
        <v>43</v>
      </c>
    </row>
    <row r="32" spans="2:21" x14ac:dyDescent="0.25">
      <c r="B32" s="28">
        <v>12</v>
      </c>
      <c r="C32" s="27">
        <f>75*Receitas!$C$4</f>
        <v>374.25</v>
      </c>
      <c r="D32" s="27">
        <f>40*Receitas!$C$5</f>
        <v>799.59999999999991</v>
      </c>
      <c r="E32" s="27">
        <f>30*Receitas!$C$6</f>
        <v>1499.7</v>
      </c>
      <c r="F32" s="27">
        <f>10*Receitas!$C$7</f>
        <v>2499.9</v>
      </c>
      <c r="G32" s="27">
        <f>C32+D32+E32+F32-Investimento!$C$7</f>
        <v>4818.4500000000007</v>
      </c>
      <c r="I32" s="28">
        <v>12</v>
      </c>
      <c r="J32" s="27">
        <f>100*Receitas!$C$4</f>
        <v>499</v>
      </c>
      <c r="K32" s="27">
        <f>50*Receitas!$C$5</f>
        <v>999.49999999999989</v>
      </c>
      <c r="L32" s="27">
        <f>40*Receitas!$C$6</f>
        <v>1999.6000000000001</v>
      </c>
      <c r="M32" s="27">
        <f>25*Receitas!$C$7</f>
        <v>6249.75</v>
      </c>
      <c r="N32" s="27">
        <f>J32+K32+L32+M32-Investimento!$C$7</f>
        <v>9392.85</v>
      </c>
      <c r="O32" s="3"/>
      <c r="P32" s="25" t="s">
        <v>27</v>
      </c>
      <c r="Q32" s="34">
        <f>IRR(Q21:Q26)</f>
        <v>0.29476227814034983</v>
      </c>
      <c r="R32" t="s">
        <v>43</v>
      </c>
    </row>
    <row r="33" spans="2:18" x14ac:dyDescent="0.25">
      <c r="B33" s="28"/>
      <c r="C33" s="27"/>
      <c r="D33" s="27"/>
      <c r="E33" s="27"/>
      <c r="F33" s="27" t="s">
        <v>42</v>
      </c>
      <c r="G33" s="27">
        <f>NPV(Investimento!F4,G21:G32)</f>
        <v>44900.61609162009</v>
      </c>
      <c r="I33" s="28"/>
      <c r="J33" s="27"/>
      <c r="K33" s="27"/>
      <c r="L33" s="27"/>
      <c r="M33" s="27" t="s">
        <v>42</v>
      </c>
      <c r="N33" s="27">
        <f>NPV(Investimento!F4,N21:N32)</f>
        <v>79534.025275918102</v>
      </c>
      <c r="O33" s="3"/>
      <c r="P33" s="25" t="s">
        <v>26</v>
      </c>
      <c r="Q33" s="33">
        <f>P25+S30</f>
        <v>4.2899029596484191</v>
      </c>
      <c r="R33" t="s">
        <v>44</v>
      </c>
    </row>
    <row r="34" spans="2:18" x14ac:dyDescent="0.25">
      <c r="B34" s="26"/>
      <c r="C34" s="26"/>
      <c r="D34" s="26"/>
      <c r="E34" s="26"/>
      <c r="F34" s="26"/>
      <c r="G34" s="27">
        <f>FV(Investimento!F4,B32,,-G33)</f>
        <v>53880.739309944525</v>
      </c>
      <c r="I34" s="26"/>
      <c r="J34" s="26"/>
      <c r="K34" s="26"/>
      <c r="L34" s="26"/>
      <c r="M34" s="26"/>
      <c r="N34" s="27">
        <f>FV(Investimento!F4,I32,,-N33)</f>
        <v>95440.830331102465</v>
      </c>
      <c r="O34" s="3"/>
      <c r="P34" s="51"/>
      <c r="Q34" s="52"/>
    </row>
    <row r="35" spans="2:18" x14ac:dyDescent="0.25">
      <c r="B35" s="29"/>
      <c r="C35" s="29"/>
      <c r="D35" s="29"/>
      <c r="E35" s="29"/>
      <c r="F35" s="29"/>
      <c r="G35" s="29"/>
    </row>
  </sheetData>
  <mergeCells count="6">
    <mergeCell ref="I2:N2"/>
    <mergeCell ref="P2:U2"/>
    <mergeCell ref="B19:G19"/>
    <mergeCell ref="I19:N19"/>
    <mergeCell ref="P19:Q19"/>
    <mergeCell ref="B2:G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cols>
    <col min="3" max="3" width="9.140625" customWidth="1"/>
  </cols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Apresentação</vt:lpstr>
      <vt:lpstr>Investimento</vt:lpstr>
      <vt:lpstr>Receitas</vt:lpstr>
      <vt:lpstr>Cenário Real</vt:lpstr>
      <vt:lpstr>Cenário Otimista</vt:lpstr>
      <vt:lpstr>Cenário Pessimista</vt:lpstr>
      <vt:lpstr>Conclusão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2023-06-17T16:12:44Z</dcterms:created>
  <dcterms:modified xsi:type="dcterms:W3CDTF">2023-06-20T01:16:29Z</dcterms:modified>
</cp:coreProperties>
</file>